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K:\AFC\ODV - organismo di vigilanza reportistica\report\2025\"/>
    </mc:Choice>
  </mc:AlternateContent>
  <xr:revisionPtr revIDLastSave="0" documentId="13_ncr:1_{7B211671-9CD2-4E2B-9D94-7A9B0143E8BD}" xr6:coauthVersionLast="47" xr6:coauthVersionMax="47" xr10:uidLastSave="{00000000-0000-0000-0000-000000000000}"/>
  <bookViews>
    <workbookView xWindow="-120" yWindow="-120" windowWidth="29040" windowHeight="15840" tabRatio="597" xr2:uid="{00000000-000D-0000-FFFF-FFFF00000000}"/>
  </bookViews>
  <sheets>
    <sheet name="Riepilogo Contratti Passivi" sheetId="1" r:id="rId1"/>
    <sheet name="Riepilogo Contratti Attivi" sheetId="2" r:id="rId2"/>
  </sheets>
  <definedNames>
    <definedName name="_xlnm._FilterDatabase" localSheetId="1" hidden="1">'Riepilogo Contratti Attivi'!$B$2:$J$7</definedName>
    <definedName name="_xlnm._FilterDatabase" localSheetId="0" hidden="1">'Riepilogo Contratti Passivi'!$B$2:$N$287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0" i="1" l="1"/>
  <c r="L277" i="1"/>
  <c r="K277" i="1"/>
  <c r="L245" i="1"/>
  <c r="K245" i="1"/>
  <c r="L218" i="1"/>
  <c r="K218" i="1"/>
  <c r="L47" i="1"/>
  <c r="K47" i="1"/>
  <c r="L41" i="1"/>
  <c r="K41" i="1"/>
  <c r="L256" i="1"/>
  <c r="K256" i="1"/>
  <c r="L255" i="1"/>
  <c r="K255" i="1"/>
  <c r="L254" i="1"/>
  <c r="K254" i="1"/>
  <c r="L231" i="1"/>
  <c r="K231" i="1"/>
  <c r="L191" i="1" l="1"/>
  <c r="K191" i="1"/>
  <c r="L153" i="1"/>
  <c r="K153" i="1"/>
  <c r="L280" i="1"/>
  <c r="K280" i="1"/>
  <c r="L130" i="1"/>
  <c r="K130" i="1"/>
  <c r="L250" i="1"/>
  <c r="K250" i="1"/>
  <c r="L135" i="1"/>
  <c r="L117" i="1"/>
  <c r="K117" i="1"/>
  <c r="I6" i="2" l="1"/>
  <c r="L224" i="1"/>
  <c r="L213" i="1"/>
  <c r="K213" i="1"/>
  <c r="L59" i="1"/>
  <c r="L268" i="1" l="1"/>
  <c r="K268" i="1"/>
  <c r="L248" i="1" l="1"/>
  <c r="L233" i="1"/>
  <c r="L225" i="1"/>
  <c r="L115" i="1"/>
  <c r="K115" i="1"/>
  <c r="L244" i="1" l="1"/>
  <c r="L179" i="1" l="1"/>
  <c r="L217" i="1" l="1"/>
  <c r="L234" i="1"/>
  <c r="L23" i="1"/>
  <c r="L18" i="1"/>
  <c r="L238" i="1"/>
  <c r="L148" i="1" l="1"/>
  <c r="L220" i="1" l="1"/>
  <c r="C191" i="1"/>
  <c r="L36" i="1"/>
  <c r="L214" i="1"/>
  <c r="L156" i="1" l="1"/>
  <c r="L119" i="1" l="1"/>
  <c r="L198" i="1"/>
  <c r="L190" i="1" l="1"/>
  <c r="I7" i="2" l="1"/>
  <c r="I5" i="2"/>
  <c r="L164" i="1"/>
  <c r="L139" i="1"/>
  <c r="L64" i="1" l="1"/>
  <c r="L131" i="1"/>
  <c r="I3" i="2"/>
  <c r="L162" i="1"/>
  <c r="L182" i="1"/>
  <c r="L127" i="1" l="1"/>
  <c r="L170" i="1" l="1"/>
  <c r="L161" i="1"/>
  <c r="L99" i="1" l="1"/>
  <c r="I4" i="2" l="1"/>
  <c r="L110" i="1" l="1"/>
  <c r="L31" i="1" l="1"/>
  <c r="L228" i="1" l="1"/>
  <c r="L89" i="1"/>
  <c r="L215" i="1"/>
  <c r="L15" i="1" l="1"/>
  <c r="L219" i="1"/>
  <c r="L174" i="1" l="1"/>
  <c r="L208" i="1"/>
  <c r="L194" i="1" l="1"/>
  <c r="L185" i="1" l="1"/>
  <c r="L205" i="1" l="1"/>
  <c r="L177" i="1"/>
  <c r="F218" i="1" l="1"/>
  <c r="L95" i="1" l="1"/>
  <c r="L7" i="1" l="1"/>
  <c r="L158" i="1" l="1"/>
  <c r="L169" i="1"/>
  <c r="L180" i="1" l="1"/>
  <c r="L204" i="1" l="1"/>
  <c r="L171" i="1" l="1"/>
  <c r="L166" i="1" l="1"/>
  <c r="L163" i="1" l="1"/>
  <c r="L197" i="1" l="1"/>
  <c r="L188" i="1" l="1"/>
  <c r="L142" i="1"/>
  <c r="L38" i="1" l="1"/>
  <c r="L14" i="1"/>
  <c r="L137" i="1" l="1"/>
  <c r="L150" i="1" l="1"/>
  <c r="L151" i="1"/>
  <c r="L118" i="1" l="1"/>
  <c r="L157" i="1"/>
  <c r="L91" i="1"/>
  <c r="L116" i="1" l="1"/>
  <c r="L149" i="1" l="1"/>
  <c r="L80" i="1" l="1"/>
  <c r="L112" i="1" l="1"/>
  <c r="L146" i="1"/>
  <c r="L37" i="1"/>
  <c r="L92" i="1" l="1"/>
  <c r="L45" i="1" l="1"/>
  <c r="L93" i="1"/>
  <c r="L100" i="1" l="1"/>
  <c r="L138" i="1" l="1"/>
  <c r="L103" i="1" l="1"/>
  <c r="L54" i="1" l="1"/>
  <c r="L85" i="1" l="1"/>
  <c r="L68" i="1"/>
  <c r="L132" i="1" l="1"/>
  <c r="L126" i="1"/>
  <c r="L83" i="1"/>
  <c r="L105" i="1" l="1"/>
  <c r="L77" i="1"/>
  <c r="L102" i="1" l="1"/>
  <c r="L121" i="1"/>
  <c r="L70" i="1" l="1"/>
  <c r="L87" i="1" l="1"/>
  <c r="L97" i="1" l="1"/>
  <c r="L42" i="1"/>
  <c r="L44" i="1" l="1"/>
  <c r="L67" i="1"/>
  <c r="L46" i="1" l="1"/>
  <c r="G59" i="1" l="1"/>
  <c r="L61" i="1" l="1"/>
  <c r="L86" i="1"/>
  <c r="G31" i="1" l="1"/>
  <c r="L71" i="1" l="1"/>
  <c r="L49" i="1" l="1"/>
  <c r="L51" i="1" l="1"/>
  <c r="L53" i="1" l="1"/>
  <c r="L43" i="1" l="1"/>
  <c r="L69" i="1"/>
  <c r="G69" i="1" l="1"/>
  <c r="L26" i="1" l="1"/>
  <c r="L21" i="1"/>
  <c r="L76" i="1" l="1"/>
  <c r="L90" i="1"/>
  <c r="L62" i="1" l="1"/>
  <c r="L75" i="1" l="1"/>
  <c r="L30" i="1" l="1"/>
  <c r="L55" i="1" l="1"/>
  <c r="L28" i="1" l="1"/>
  <c r="L39" i="1"/>
  <c r="L63" i="1" l="1"/>
  <c r="L33" i="1" l="1"/>
  <c r="L4" i="1"/>
  <c r="L65" i="1" l="1"/>
  <c r="G65" i="1"/>
  <c r="L52" i="1"/>
  <c r="L60" i="1" l="1"/>
  <c r="L35" i="1" l="1"/>
  <c r="L24" i="1" l="1"/>
  <c r="L50" i="1" l="1"/>
  <c r="L32" i="1" l="1"/>
  <c r="L25" i="1" l="1"/>
  <c r="L34" i="1" l="1"/>
  <c r="L19" i="1"/>
  <c r="G35" i="1" l="1"/>
  <c r="L20" i="1" l="1"/>
  <c r="L5" i="1" l="1"/>
</calcChain>
</file>

<file path=xl/sharedStrings.xml><?xml version="1.0" encoding="utf-8"?>
<sst xmlns="http://schemas.openxmlformats.org/spreadsheetml/2006/main" count="1734" uniqueCount="1063">
  <si>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</si>
  <si>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</si>
  <si>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</si>
  <si>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</si>
  <si>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</si>
  <si>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</si>
  <si>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</si>
  <si>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</si>
  <si>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</si>
  <si>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</si>
  <si>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</si>
  <si>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</si>
  <si>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</si>
  <si>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</si>
  <si>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</si>
  <si>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</si>
  <si>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</si>
  <si>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</si>
  <si>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</si>
  <si>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</si>
  <si>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</si>
  <si>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</si>
  <si>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</si>
  <si>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</si>
  <si>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</si>
  <si>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</si>
  <si>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</si>
  <si>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</si>
  <si>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</si>
  <si>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</si>
  <si>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</si>
  <si>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</si>
  <si>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</si>
  <si>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</si>
  <si>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</si>
  <si>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</si>
  <si>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</si>
  <si>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</si>
  <si>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</si>
  <si>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</si>
  <si>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</si>
  <si>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</si>
  <si>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</si>
  <si>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</si>
  <si>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</si>
  <si>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</si>
  <si>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</si>
  <si>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</si>
  <si>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</si>
  <si>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</si>
  <si>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</si>
  <si>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</si>
  <si>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</si>
  <si>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</si>
  <si>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</si>
  <si>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</si>
  <si>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</si>
  <si>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</si>
  <si>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</si>
  <si>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</si>
  <si>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</si>
  <si>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</si>
  <si>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</si>
  <si>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</si>
  <si>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</si>
  <si>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</si>
  <si>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</si>
  <si>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</si>
  <si>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</si>
  <si>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</si>
  <si>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</si>
  <si>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</si>
  <si>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</si>
  <si>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</si>
  <si>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</si>
  <si>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</si>
  <si>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</si>
  <si>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</si>
  <si>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</si>
  <si>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</si>
  <si>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</si>
  <si>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</si>
  <si>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</si>
  <si>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</si>
  <si>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</si>
  <si>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</si>
  <si>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</si>
  <si>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</si>
  <si>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</si>
  <si>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</si>
  <si>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</si>
  <si>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</si>
  <si>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</si>
  <si>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</si>
  <si>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</si>
  <si>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</si>
  <si>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</si>
  <si>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</si>
  <si>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</si>
  <si>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</si>
  <si>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</si>
  <si>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</si>
  <si>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</si>
  <si>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</si>
  <si>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</si>
  <si>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</si>
  <si>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</si>
  <si>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</si>
  <si>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</si>
  <si>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</si>
  <si>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</si>
  <si>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</si>
  <si>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</si>
  <si>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</si>
  <si>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</si>
  <si>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</si>
  <si>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</si>
  <si>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</si>
  <si>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</si>
  <si>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</si>
  <si>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</si>
  <si>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</si>
  <si>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</si>
  <si>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</si>
  <si>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</si>
  <si>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</si>
  <si>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</si>
  <si>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</si>
  <si>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</si>
  <si>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</si>
  <si>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</si>
  <si>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</si>
  <si>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</si>
  <si>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</si>
  <si>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</si>
  <si>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</si>
  <si>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</si>
  <si>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</si>
  <si>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</si>
  <si>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</si>
  <si>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</si>
  <si>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</si>
  <si>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</si>
  <si>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</si>
  <si>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</si>
  <si>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</si>
  <si>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</si>
  <si>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</si>
  <si>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</si>
  <si>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</si>
  <si>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</si>
  <si>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</si>
  <si>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</si>
  <si>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</si>
  <si>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</si>
  <si>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</si>
  <si>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</si>
  <si>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</si>
  <si>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</si>
  <si>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</si>
  <si>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</si>
  <si>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</si>
  <si>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</si>
  <si>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</si>
  <si>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</si>
  <si>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</si>
  <si>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</si>
  <si>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</si>
  <si>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</si>
  <si>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</si>
  <si>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</si>
  <si>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</si>
  <si>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</si>
  <si>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</si>
  <si>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</si>
  <si>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</si>
  <si>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</si>
  <si>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</si>
  <si>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</si>
  <si>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</si>
  <si>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</si>
  <si>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</si>
  <si>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</si>
  <si>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</si>
  <si>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</si>
  <si>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</si>
  <si>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</si>
  <si>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</si>
  <si>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</si>
  <si>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</si>
  <si>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</si>
  <si>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</si>
  <si>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</si>
  <si>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</si>
  <si>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</si>
  <si>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</si>
  <si>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</si>
  <si>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</si>
  <si>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</si>
  <si>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</si>
  <si>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</si>
  <si>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</si>
  <si>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</si>
  <si>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</si>
  <si>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</si>
  <si>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</si>
  <si>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</si>
  <si>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</si>
  <si>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</si>
  <si>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</si>
  <si>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</si>
  <si>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</si>
  <si>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</si>
  <si>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</si>
  <si>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</si>
  <si>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</si>
  <si>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</si>
  <si>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</si>
  <si>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</si>
  <si>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</si>
  <si>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</si>
  <si>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</si>
  <si>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</si>
  <si>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</si>
  <si>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</si>
  <si>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</si>
  <si>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</si>
  <si>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</si>
  <si>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</si>
  <si>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</si>
  <si>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</si>
  <si>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</si>
  <si>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</si>
  <si>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</si>
  <si>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</si>
  <si>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</si>
  <si>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</si>
  <si>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</si>
  <si>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</si>
  <si>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</si>
  <si>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</si>
  <si>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</si>
  <si>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</si>
  <si>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</si>
  <si>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</si>
  <si>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</si>
  <si>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</si>
  <si>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</si>
  <si>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</si>
  <si>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</si>
  <si>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</si>
  <si>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</si>
  <si>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</si>
  <si>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</si>
  <si>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</si>
  <si>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</si>
  <si>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</si>
  <si>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</si>
  <si>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</si>
  <si>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</si>
  <si>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</si>
  <si>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</si>
  <si>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</si>
  <si>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</si>
  <si>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</si>
  <si>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</si>
  <si>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</si>
  <si>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</si>
  <si>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</si>
  <si>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</si>
  <si>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</si>
  <si>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</si>
  <si>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</si>
  <si>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</si>
  <si>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</si>
  <si>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</si>
  <si>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</si>
  <si>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</si>
  <si>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</si>
  <si>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</si>
  <si>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</si>
  <si>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</si>
  <si>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</si>
  <si>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</si>
  <si>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</si>
  <si>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</si>
  <si>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</si>
  <si>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</si>
  <si>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</si>
  <si>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</si>
  <si>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</si>
  <si>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</si>
  <si>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</si>
  <si>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</si>
  <si>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</si>
  <si>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</si>
  <si>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</si>
  <si>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</si>
  <si>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</si>
  <si>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</si>
  <si>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</si>
  <si>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</si>
  <si>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</si>
  <si>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</si>
  <si>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</si>
  <si>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</si>
  <si>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</si>
  <si>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</si>
  <si>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</si>
  <si>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</si>
  <si>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</si>
  <si>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</si>
  <si>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</si>
  <si>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</si>
  <si>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</si>
  <si>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</si>
  <si>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</si>
  <si>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</si>
  <si>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</si>
  <si>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</si>
  <si>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</si>
  <si>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</si>
  <si>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</si>
  <si>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</si>
  <si>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</si>
  <si>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</si>
  <si>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</si>
  <si>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</si>
  <si>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</si>
  <si>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</si>
  <si>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</si>
  <si>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</si>
  <si>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</si>
  <si>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</si>
  <si>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</si>
  <si>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</si>
  <si>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</si>
  <si>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</si>
  <si>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</si>
  <si>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</si>
  <si>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</si>
  <si>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</si>
  <si>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</si>
  <si>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</si>
  <si>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</si>
  <si>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</si>
  <si>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</si>
  <si>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</si>
  <si>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</si>
  <si>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</si>
  <si>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</si>
  <si>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</si>
  <si>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</si>
  <si>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</si>
  <si>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</si>
  <si>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</si>
  <si>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</si>
  <si>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</si>
  <si>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</si>
  <si>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</si>
  <si>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</si>
  <si>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</si>
  <si>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</si>
  <si>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</si>
  <si>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</si>
  <si>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</si>
  <si>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</si>
  <si>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</si>
  <si>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</si>
  <si>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</si>
  <si>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</si>
  <si>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</si>
  <si>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</si>
  <si>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</si>
  <si>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</si>
  <si>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</si>
  <si>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</si>
  <si>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</si>
  <si>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</si>
  <si>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</si>
  <si>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</si>
  <si>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</si>
  <si>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</si>
  <si>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</si>
  <si>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</si>
  <si>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</si>
  <si>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</si>
  <si>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</si>
  <si>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</si>
  <si>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</si>
  <si>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</si>
  <si>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</si>
  <si>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</si>
  <si>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</si>
  <si>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</si>
  <si>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</si>
  <si>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</si>
  <si>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</si>
  <si>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</si>
  <si>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</si>
  <si>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</si>
  <si>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</si>
  <si>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</si>
  <si>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</si>
  <si>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</si>
  <si>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</si>
  <si>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</si>
  <si>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</si>
  <si>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</si>
  <si>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</si>
  <si>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</si>
  <si>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</si>
  <si>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</si>
  <si>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</si>
  <si>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</si>
  <si>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</si>
  <si>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</si>
  <si>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</si>
  <si>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</si>
  <si>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Noleggio n. 1 auto PANDA</t>
  </si>
  <si>
    <t>248,38 canone mensile</t>
  </si>
  <si>
    <t>3TI ITALIA SPA</t>
  </si>
  <si>
    <t>segue la durata principale del contratto
(fino alla fine dei lavori coincidente con l'emissione del certificato di collaudo)</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</si>
  <si>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</si>
  <si>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</si>
  <si>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</si>
  <si>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</si>
  <si>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</si>
  <si>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</si>
  <si>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</si>
  <si>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</si>
  <si>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</si>
  <si>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</si>
  <si>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</si>
  <si>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</si>
  <si>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</si>
  <si>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</si>
  <si>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</si>
  <si>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</si>
  <si>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</si>
  <si>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</si>
  <si>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</si>
  <si>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</si>
  <si>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</si>
  <si>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</si>
  <si>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</si>
  <si>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</si>
  <si>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</si>
  <si>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</si>
  <si>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</si>
  <si>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</si>
  <si>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</si>
  <si>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</si>
  <si>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</si>
  <si>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</si>
  <si>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</si>
  <si>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</si>
  <si>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</si>
  <si>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</si>
  <si>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</si>
  <si>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</si>
  <si>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</si>
  <si>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</si>
  <si>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</si>
  <si>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</si>
  <si>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</si>
  <si>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</si>
  <si>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</si>
  <si>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</si>
  <si>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</si>
  <si>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</si>
  <si>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</si>
  <si>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</si>
  <si>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</si>
  <si>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</si>
  <si>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</si>
  <si>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</si>
  <si>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</si>
  <si>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</si>
  <si>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</si>
  <si>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</si>
  <si>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</si>
  <si>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</si>
  <si>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</si>
  <si>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</si>
  <si>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</si>
  <si>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</si>
  <si>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</si>
  <si>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</si>
  <si>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</si>
  <si>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r>
      <rPr>
        <sz val="11"/>
        <color theme="1"/>
        <rFont val="Calibri"/>
        <family val="2"/>
      </rPr>
      <t>17.500 € per ogni rapporto bimestrale con incremento annuale del 3%</t>
    </r>
    <r>
      <rPr>
        <sz val="11"/>
        <color theme="1"/>
        <rFont val="Calibri"/>
        <family val="2"/>
        <scheme val="minor"/>
      </rPr>
      <t xml:space="preserve">
</t>
    </r>
  </si>
  <si>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</si>
  <si>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</si>
  <si>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</si>
  <si>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</si>
  <si>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</si>
  <si>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</si>
  <si>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</si>
  <si>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</si>
  <si>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</si>
  <si>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</si>
  <si>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</si>
  <si>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</si>
  <si>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</si>
  <si>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</si>
  <si>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</si>
  <si>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</si>
  <si>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</si>
  <si>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</si>
  <si>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</si>
  <si>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</si>
  <si>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</si>
  <si>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</si>
  <si>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</si>
  <si>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</si>
  <si>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</si>
  <si>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</si>
  <si>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</si>
  <si>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</si>
  <si>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</si>
  <si>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</si>
  <si>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</si>
  <si>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</si>
  <si>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</si>
  <si>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</si>
  <si>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</si>
  <si>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</si>
  <si>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</si>
  <si>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</si>
  <si>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</si>
  <si>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</si>
  <si>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</si>
  <si>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</si>
  <si>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</si>
  <si>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</si>
  <si>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</si>
  <si>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</si>
  <si>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</si>
  <si>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</si>
  <si>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</si>
  <si>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</si>
  <si>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</si>
  <si>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</si>
  <si>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</si>
  <si>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</si>
  <si>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</si>
  <si>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</si>
  <si>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</si>
  <si>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</si>
  <si>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</si>
  <si>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</si>
  <si>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</si>
  <si>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</si>
  <si>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</si>
  <si>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</si>
  <si>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</si>
  <si>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</si>
  <si>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</si>
  <si>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</si>
  <si>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</si>
  <si>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</si>
  <si>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</si>
  <si>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</si>
  <si>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</si>
  <si>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</si>
  <si>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</si>
  <si>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</si>
  <si>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</si>
  <si>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</si>
  <si>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</si>
  <si>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</si>
  <si>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</si>
  <si>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</si>
  <si>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</si>
  <si>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</si>
  <si>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</si>
  <si>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</si>
  <si>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</si>
  <si>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</si>
  <si>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</si>
  <si>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</si>
  <si>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</si>
  <si>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</si>
  <si>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</si>
  <si>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</si>
  <si>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</si>
  <si>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</si>
  <si>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</si>
  <si>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</si>
  <si>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</si>
  <si>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</si>
  <si>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</si>
  <si>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</si>
  <si>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</si>
  <si>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</si>
  <si>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</si>
  <si>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</si>
  <si>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</si>
  <si>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</si>
  <si>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</si>
  <si>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</si>
  <si>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</si>
  <si>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</si>
  <si>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</si>
  <si>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</si>
  <si>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</si>
  <si>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</si>
  <si>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</si>
  <si>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</si>
  <si>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</si>
  <si>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</si>
  <si>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</si>
  <si>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</si>
  <si>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</si>
  <si>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</si>
  <si>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</si>
  <si>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</si>
  <si>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</si>
  <si>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</si>
  <si>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</si>
  <si>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</si>
  <si>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</si>
  <si>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</si>
  <si>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</si>
  <si>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</si>
  <si>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</si>
  <si>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</si>
  <si>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</si>
  <si>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</si>
  <si>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</si>
  <si>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</si>
  <si>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</si>
  <si>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</si>
  <si>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</si>
  <si>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</si>
  <si>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</si>
  <si>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</si>
  <si>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</si>
  <si>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</si>
  <si>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</si>
  <si>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</si>
  <si>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</si>
  <si>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</si>
  <si>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</si>
  <si>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</si>
  <si>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</si>
  <si>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</si>
  <si>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</si>
  <si>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</si>
  <si>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</si>
  <si>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</si>
  <si>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</si>
  <si>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</si>
  <si>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</si>
  <si>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</si>
  <si>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</si>
  <si>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</si>
  <si>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</si>
  <si>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</si>
  <si>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</si>
  <si>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</si>
  <si>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</si>
  <si>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</si>
  <si>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</si>
  <si>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</si>
  <si>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</si>
  <si>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</si>
  <si>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</si>
  <si>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</si>
  <si>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</si>
  <si>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</si>
  <si>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</si>
  <si>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r>
      <t>distacco decorre dal 14/12/2020 al 30/11/2023--&gt;</t>
    </r>
    <r>
      <rPr>
        <b/>
        <sz val="7.7"/>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</si>
  <si>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t>CISL</t>
  </si>
  <si>
    <t>protocollo sicurezza cantieri M4 - distacco lavoratori dai sindacati 
Distacco Sanguedolce Romina Maria rappresentante sindacali art. 30</t>
  </si>
  <si>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</si>
  <si>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</si>
  <si>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</si>
  <si>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</si>
  <si>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</si>
  <si>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</si>
  <si>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</si>
  <si>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</si>
  <si>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</si>
  <si>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</si>
  <si>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</si>
  <si>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</si>
  <si>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</si>
  <si>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</si>
  <si>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</si>
  <si>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</si>
  <si>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</si>
  <si>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</si>
  <si>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</si>
  <si>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</si>
  <si>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</si>
  <si>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</si>
  <si>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</si>
  <si>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</si>
  <si>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</si>
  <si>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</si>
  <si>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</si>
  <si>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</si>
  <si>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</si>
  <si>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</si>
  <si>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</si>
  <si>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</si>
  <si>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</si>
  <si>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</si>
  <si>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</si>
  <si>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</si>
  <si>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</si>
  <si>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</si>
  <si>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</si>
  <si>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</si>
  <si>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</si>
  <si>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</si>
  <si>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Il Servizio oggetto del Contratto avrà durata pari a mesi 18 a decorrere dal 6 giugno 2023</t>
  </si>
  <si>
    <t>euro 69.300 oltre Iva</t>
  </si>
  <si>
    <t>Canevari Service Group S.r.l.</t>
  </si>
  <si>
    <t>09531330968</t>
  </si>
  <si>
    <t>Affidamento del servizio di conduzione e manutenzione ordinaria generale degli impianti di climatizzazione e condizionamento presso gli uffici di M4</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</si>
  <si>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</si>
  <si>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euro 4.500 al netto dell'iva</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</si>
  <si>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</si>
  <si>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</si>
  <si>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</si>
  <si>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</si>
  <si>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</si>
  <si>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</si>
  <si>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</si>
  <si>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</si>
  <si>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</si>
  <si>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</si>
  <si>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</si>
  <si>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</si>
  <si>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</si>
  <si>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</si>
  <si>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</si>
  <si>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</si>
  <si>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Attività di assistenza, rappresentanza e difesa nel giudizio promosso da NBI Spa a carico di M4 S.p.A. avanti al tribunale di Milano</t>
  </si>
  <si>
    <t>€ 10.000 al netto dell’IVA e degli oneri di legge e delle spese generali nella misura del 15%</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</si>
  <si>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</si>
  <si>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</si>
  <si>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</si>
  <si>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</si>
  <si>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</si>
  <si>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</si>
  <si>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</si>
  <si>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</si>
  <si>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</si>
  <si>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</si>
  <si>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</si>
  <si>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</si>
  <si>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</si>
  <si>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</si>
  <si>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</si>
  <si>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</si>
  <si>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</si>
  <si>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</si>
  <si>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</si>
  <si>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</si>
  <si>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</si>
  <si>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</si>
  <si>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</si>
  <si>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</si>
  <si>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</si>
  <si>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</si>
  <si>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</si>
  <si>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</si>
  <si>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</si>
  <si>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</si>
  <si>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</si>
  <si>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</si>
  <si>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</si>
  <si>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</si>
  <si>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</si>
  <si>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</si>
  <si>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</si>
  <si>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</si>
  <si>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</si>
  <si>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</si>
  <si>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</si>
  <si>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</si>
  <si>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</si>
  <si>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</si>
  <si>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</si>
  <si>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</si>
  <si>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</si>
  <si>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E-LEX STUDIO LEGALE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</si>
  <si>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</si>
  <si>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</si>
  <si>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</si>
  <si>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</si>
  <si>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</si>
  <si>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</si>
  <si>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</si>
  <si>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</si>
  <si>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</si>
  <si>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</si>
  <si>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r>
      <t xml:space="preserve">Pluxee Italia Srl </t>
    </r>
    <r>
      <rPr>
        <b/>
        <sz val="11"/>
        <color rgb="FF0070C0"/>
        <rFont val="Calibri"/>
        <family val="2"/>
      </rPr>
      <t>ex Sodexo Benefits &amp; Rewards Services Italia S.r.l.</t>
    </r>
  </si>
  <si>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</si>
  <si>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</si>
  <si>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</si>
  <si>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</si>
  <si>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30/11/2020
</t>
    </r>
    <r>
      <rPr>
        <b/>
        <sz val="11"/>
        <color theme="1"/>
        <rFont val="Calibri"/>
        <family val="2"/>
      </rPr>
      <t>28.11.2023 proroga</t>
    </r>
  </si>
  <si>
    <r>
      <t xml:space="preserve">06/12/2022
</t>
    </r>
    <r>
      <rPr>
        <b/>
        <sz val="11"/>
        <color theme="1"/>
        <rFont val="Calibri"/>
        <family val="2"/>
      </rPr>
      <t>28.11.2023 proroga</t>
    </r>
  </si>
  <si>
    <t>9.750 Euro escluso iva</t>
  </si>
  <si>
    <t>Z8E3D8479A</t>
  </si>
  <si>
    <t>Prestazioni tecniche e professionali relative alla fornitira, manutenzione e implementazione della piattaforma di e-procurement TuttoGare</t>
  </si>
  <si>
    <t>Il presente incarico decorre dalla data di scadenza del precedente contratto tra le parti e ha una durata 13 mesi con scadenza 31.12.2024</t>
  </si>
  <si>
    <t>Il presente contratto avrà la durata di un anno a partire dal 1 gennaio 2024 e fino al 31 dicembre 2024</t>
  </si>
  <si>
    <t>15.890,00 IVA ed oneri di cassa di competenza esclusi</t>
  </si>
  <si>
    <t>B0080A49FC</t>
  </si>
  <si>
    <t>attività di consulenza per la redazione di un parere legale in materia di Protocollo di Legalità avente ad oggetto l’interpretazione dell’art. 6 del Protocollo di Legalità M4, come riformulato dall’Addendum del 21 luglio 2021, con particolare riguardo al terzo “accertamento” della violazione degli obblighi informativi ed, eventualmente, a quelli successivi, applicato al caso di specie riguardante l’operatore economico Alphe Ponteggi S.r.l</t>
  </si>
  <si>
    <t>Il presente incarico decorre dalla data inizio dello svolgimento della prestazione quale comunicata alla Società dal Consulente ed ha durata pari al periodo necessario allo svolgimento dello stesso che si concluderà mediante la resa del parere di cui all’oggetto</t>
  </si>
  <si>
    <t>euro 5.000,00 al netto di IVA al 22%, spese generali al 15%, CPA al 4%, ritenuta d’acconto al 20% se applicata e spese vive da documentare</t>
  </si>
  <si>
    <t>B03FE980A4</t>
  </si>
  <si>
    <t>RockSoil S.p.A.</t>
  </si>
  <si>
    <t xml:space="preserve"> 01795210168</t>
  </si>
  <si>
    <t>Il presente incarico avrà ad oggetto lo studio sulla compatibilità geotecnica e fattibilità per la costruzione di un nuovo complesso edilizio basata su verifiche e analisi progettuali e successiva redazione di una relazione tecnica contenente un parere finale ed eventuali raccomandazioni tecniche da adottare durante lo svolgimento dei lavori.</t>
  </si>
  <si>
    <t>6.500 al netto dell’IVA, delle spese amministrative e delle imposte</t>
  </si>
  <si>
    <t>Il presente incarico decorrerà dalla data di stipula dell’affidamento e terminerà con il completamento di
tutte le attività descritte nell'oggetto</t>
  </si>
  <si>
    <t>B00E47AD1C</t>
  </si>
  <si>
    <t>euro 1.500 al netto di IVA al 22%, spese generali al 15%, CPA al 4%, ritenuta d’acconto al 20% se applicata e spese vive da documentare</t>
  </si>
  <si>
    <t>B00E5F885A</t>
  </si>
  <si>
    <t>Il presente contratto decorre dalla sua sottoscrizione e avrà termine in data 31 dicembre 2024</t>
  </si>
  <si>
    <t>B04DF588D7</t>
  </si>
  <si>
    <t>Lombardia Parcheggi S.R.L.</t>
  </si>
  <si>
    <t>03111700153</t>
  </si>
  <si>
    <t>Le prestazioni oggetto del presente affidamento riguardano la messa a disposizione
di n. 25 porti per autoveicoli dalla data del 27 dicembre 2023 al 26 dicembre 2024</t>
  </si>
  <si>
    <t>Il servizio di Rimessaggio decorrerà dalla data del 27 dicembre 2023 fino al 26 dicembre 2024</t>
  </si>
  <si>
    <t>BO32262756</t>
  </si>
  <si>
    <t>Il compenso per il servizio di ricovero di 25 auto è pari ad € 251,00 mensili a vettura iva inclusa (€ 205,74 iva esclusa)</t>
  </si>
  <si>
    <r>
      <rPr>
        <b/>
        <sz val="15"/>
        <color theme="1"/>
        <rFont val="Calibri"/>
        <family val="2"/>
        <scheme val="minor"/>
      </rPr>
      <t>(*)</t>
    </r>
    <r>
      <rPr>
        <b/>
        <sz val="11"/>
        <color theme="1"/>
        <rFont val="Calibri"/>
        <family val="2"/>
        <scheme val="minor"/>
      </rPr>
      <t xml:space="preserve">
PAGAMENTI
&gt; 5.000€ </t>
    </r>
  </si>
  <si>
    <r>
      <t xml:space="preserve">04/03/2022
</t>
    </r>
    <r>
      <rPr>
        <b/>
        <sz val="11"/>
        <color theme="1"/>
        <rFont val="Calibri"/>
        <family val="2"/>
      </rPr>
      <t>13/03/2024 proroga di due mesi</t>
    </r>
    <r>
      <rPr>
        <sz val="11"/>
        <color theme="1"/>
        <rFont val="Calibri"/>
        <family val="2"/>
        <scheme val="minor"/>
      </rPr>
      <t xml:space="preserve"> </t>
    </r>
  </si>
  <si>
    <t>07/03/2022-07/03/2024 PROROGABILE PER UN PERIODO MASSIMO DI 2 MESI
scadenza 07/05/2024</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</si>
  <si>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 (16.500+10.000 oltre IVA)</t>
    </r>
  </si>
  <si>
    <t>Service SAP - rinnovo 2023</t>
  </si>
  <si>
    <t>Redazione di tipo di frazionamento per l’immobile in Comune di Milano Fg. 396 part. 326 e redazione di Docfa al catasto Fabbricati per creazione subalterno/nuova particella</t>
  </si>
  <si>
    <t>euro 2.000 al netto di IVA al 22%, spese generali al 15%, CPA al 4%, ritenuta d’acconto al 20% se applicata e spese vive da documentare</t>
  </si>
  <si>
    <t xml:space="preserve">B0F78A8181 </t>
  </si>
  <si>
    <t>Attività di redazione tipo di frazionamento per l’immobile sito in comune di Milano Fg. 396 part. 112 espropriato, di proprietà dell’Immobiliare Forlanini</t>
  </si>
  <si>
    <t>attività di assistenza, rappresentanza e difesa nel giudizio promosso da Leonardo S.p.A. a carico di M4 S.p.A. dinanzi alla Corte D’Appello di Milano, volto ad ottenere la riforma della sentenza n.1005/2023 del 12/12/2023 emessa in primo grado dal Tribunale di Milano.</t>
  </si>
  <si>
    <t>Il presente incarico decorre dalla data di approvazione del preventivo di spesa, 18/03/2024, e fino al completamento di tutte le attività elencate nell'oggetto.</t>
  </si>
  <si>
    <t>euro 14.000,00, al netto di IVA al 22%, spese generali al 15%, CPA al 4%, ritenuta d’acconto al 20% se applicata e spese vive da documentare.</t>
  </si>
  <si>
    <t>B13C80DE48</t>
  </si>
  <si>
    <t>Oggetto del presente incarico è lo svolgimento della procedura relativa allo svincolo di n. 18 indennità depositate presso il M.E.F..</t>
  </si>
  <si>
    <t>euro 1.000,00 per ogni singola rettifica che verrà effettivamente predisposta, da riconoscersi sino ad un ammontare complessivo massimo di euro 18.000,00, al netto di IVA e di tutti gli oneri e costi della procedura</t>
  </si>
  <si>
    <t>B14A3F0319</t>
  </si>
  <si>
    <t>Oggetto del presente incarico è lo svolgimento della procedura relativa alle integrazioni delle n. 8 indennità stimate della terna peritale e/o sentenze della Corte di Appello per le quali è previsto il deposito presso il M.E.F. competente.</t>
  </si>
  <si>
    <t>euro 500,00 per ogni singola rettifica che verrà effettivamente predisposta dalla Consulente, da riconoscersi sino ad un ammontare complessivo massimo di euro 4.000,00, al netto di IVA e di tutti gli oneri e costi della procedura quali pubblicazione, trascrizione, registrazione, notifiche, ecc.</t>
  </si>
  <si>
    <t>B0F78D45CF</t>
  </si>
  <si>
    <t>Studio Legale Associato BSVA</t>
  </si>
  <si>
    <t>Oggetto del presente incarico è l’attività di assistenza legale stragiudiziale per la redazione di parere legale relativo alla modalità di svincolo delle somme depositate dalla Società presso il MEF di Milano in favore della Fondazione Istituto dei Ciechi di Milano, Onlus, a titolo di indennità provvisoria di asservimento</t>
  </si>
  <si>
    <t>euro 2.500,00 al netto di IVA al 22%, spese generali al 15%, CPA al 4%, ritenuta d’acconto al 20% se applicata e spese vive da documentare</t>
  </si>
  <si>
    <t>B00E28F7EE</t>
  </si>
  <si>
    <t>Katia Pantaleo</t>
  </si>
  <si>
    <t>13090370969</t>
  </si>
  <si>
    <t>Oggetto del presente incarico è la consulenza specialistica per attività attinenti lo studio e lo sviluppo
di un piano di comunicazione e marketing e, in particolare:
- Studio e Sviluppo di un piano di comunicazione di M4
- Eventi, attivazioni, co-marketing per promuovere M4
- Ricerca di sponsor interessati agli spazi commerciali disponibili non gestiti</t>
  </si>
  <si>
    <t>La durata del presente contratto decorre dalla firma e termina il 31/12/2024</t>
  </si>
  <si>
    <t>B19AD2563E</t>
  </si>
  <si>
    <t>265.142,75 Euro oltre iva e contributi previdenziali 
attività di CSE integrativa al contratto principale</t>
  </si>
  <si>
    <t>Il presente incarico avrà la durata di anni 2 (due) e decorrerà dalla data di firma del presente contratto e fino al 19 maggio 2026. Il presente contratto, inoltre, ad insindacabile giudizio del Committente, potrà essere prorogato, per il periodo strettamente necessario all’individuazione di un nuovo affidatario, per un periodo massimo di 2 (due) mesi, alle stesse condizioni contrattuali.</t>
  </si>
  <si>
    <t>B194CFDC78</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</si>
  <si>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r>
      <rPr>
        <sz val="11"/>
        <color theme="1"/>
        <rFont val="Calibri"/>
        <family val="2"/>
        <scheme val="minor"/>
      </rPr>
      <t xml:space="preserve">
</t>
    </r>
    <r>
      <rPr>
        <b/>
        <sz val="11"/>
        <color theme="1"/>
        <rFont val="Calibri"/>
        <family val="2"/>
        <scheme val="minor"/>
      </rPr>
      <t>addendum 3 01/08/2023-30/06/2025</t>
    </r>
  </si>
  <si>
    <r>
      <t xml:space="preserve">11.365.135,21 oltre 4% CNPAIA e Iva
</t>
    </r>
    <r>
      <rPr>
        <b/>
        <sz val="11"/>
        <color theme="1"/>
        <rFont val="Calibri"/>
        <family val="2"/>
      </rPr>
      <t xml:space="preserve">- 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 Addendum 2 Euro 559.083,75
- Addendum 3 Euro 2.605.541,25</t>
    </r>
  </si>
  <si>
    <t xml:space="preserve"> euro 16.000,00 oltre IVA (se applicabile) e di ogni altro onere di legge</t>
  </si>
  <si>
    <t>Revisione del reporting package semestrale con chiusura 30 giugno 2024</t>
  </si>
  <si>
    <t>Revisione contabile limitata del bilancio semestrale al 30 giugno 2024</t>
  </si>
  <si>
    <t xml:space="preserve">il programma di attuazione della revisione del reporting package sarà strutturato in differenti fasi che verranno svolte sia nel corso della durata dell'incario sia dopo la sua chiusura </t>
  </si>
  <si>
    <t xml:space="preserve">1.000 oltre iva </t>
  </si>
  <si>
    <r>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r>
    <r>
      <rPr>
        <b/>
        <sz val="11"/>
        <color theme="1"/>
        <rFont val="Calibri"/>
        <family val="2"/>
      </rPr>
      <t>Proroga Tecnica per ulteriori due mesi</t>
    </r>
    <r>
      <rPr>
        <sz val="11"/>
        <color theme="1"/>
        <rFont val="Calibri"/>
        <family val="2"/>
        <scheme val="minor"/>
      </rPr>
      <t xml:space="preserve">
</t>
    </r>
  </si>
  <si>
    <t>07/07/2021
20/06/2024 proroga</t>
  </si>
  <si>
    <t xml:space="preserve">75.000 al netto dell'iva
4.166,67 al netto dell'iva </t>
  </si>
  <si>
    <t>Oggetto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</si>
  <si>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B22EEC5036</t>
  </si>
  <si>
    <t>Studio Bernardi&amp;Associati, Associazione Professionale di Dottori Commercialisti</t>
  </si>
  <si>
    <t>04354310965</t>
  </si>
  <si>
    <t>Il presente incarico avrà la durata di 36 mesi e decorrerà dal 1 agosto 2024. Il presente contratto, inoltre, ad insindacabile giudizio del Committente, potrà essere prorogato, per il periodo strettamente necessario all’individuazione di un nuovo affidatario, per un periodo massimo di 2 (due) mesi, alle stesse condizioni contrattuali.</t>
  </si>
  <si>
    <t>109.000 al netto dell'iva, comprensivo di tutti gli oneri dovuti.</t>
  </si>
  <si>
    <t>NCARICO PER ESAME DI COMPATIBILITÀ GEOTECNICA RIGUARDO A PROPOSTE DI NUOVA EDIFICAZIONE E/O MODIFICHE AGLI INSEDIAMENTI ESISTENTI PRESSO LE AREE VINCOLATE DALLE OPERE DELLA LINEA M4</t>
  </si>
  <si>
    <t>01795210168</t>
  </si>
  <si>
    <t>B239C263DE</t>
  </si>
  <si>
    <t>Il presente incarico decorrerà dalla data di stipula dell’affidamento e terminerà con il raggiungimento del tetto di spesa e comunque non potrà estendersi oltre i 3 anni.</t>
  </si>
  <si>
    <t>€ 31.000 al netto dell’IVA, delle spese amministrative e delle imposte, sulla base dello scenario di attività e delle corrispondenti prestazioni di volta in volta richieste</t>
  </si>
  <si>
    <t>Arcus Financial Advisors S.r.l.</t>
  </si>
  <si>
    <t>Completamento del Piano Economico Finanziario volto al Riequilibrio finanziario
Gestione ordinaria delle attività relative al Contratto di finanziamento
Consulenza per il rifinanziamento delle Linee di credito in essere a favore della Società</t>
  </si>
  <si>
    <t>Il presente incarico ha durata anni 1 (uno) con decorrenza 1° luglio 2024 al 30 giugno 2025</t>
  </si>
  <si>
    <t>120.000€ oltre IVA
dovranno essere rimborsate, ove sostenute e debitamente documentate ai fini fiscali, le eventuali spese vive, preventivamente autorizzate, ivi incluse spese di viaggio e di alloggio, costi di spedizione e stampe. Tali spese vive non potranno comunque superare un importo massimo pari a Euro 2.000,00 (Euro duemila) entro la scadenza del contratto</t>
  </si>
  <si>
    <t>B22F0F5E52</t>
  </si>
  <si>
    <t>Aggiornamento del parere legale reso dallo studio GPA in data 25 gennaio 2015, oggetto di approfondimento e revisione, relativo all’individuazione della esatta natura giuridica di M4 S.p.A.</t>
  </si>
  <si>
    <t>Il presente incarico decorre dalla data di sottoscrizione tra le Parti fino al completamento di tutte le attività elencate nell'oggetto.</t>
  </si>
  <si>
    <t>9.000€ al netto di IVA al 22%, spese generali al 15%, CPA al 4%, ritenuta d’acconto al 20% se applicata e spese vive da documentare.</t>
  </si>
  <si>
    <t>B26FF25B9E</t>
  </si>
  <si>
    <t>Oggetto del presente incarico è l’attività di assistenza legale, rappresentanza e difesa nel giudizio promosso da ITALSERVIZI 2007 SRL contro Anac davanti al TAR Lazio- Roma, R.G. n. 14412/2003.</t>
  </si>
  <si>
    <t>7.500 € al netto di IVA al 22%, spese generali al 15%, CPA al 4%, ritenuta d’acconto al 20% se applicata e spese vive da documentare.</t>
  </si>
  <si>
    <t>B2735682D8</t>
  </si>
  <si>
    <t>Studio Legale CASCINI</t>
  </si>
  <si>
    <t>10151800157</t>
  </si>
  <si>
    <t>Oggetto del presente incarico è l’attività di assistenza legale, rappresentanza e difesa nel giudizio a carico dell'imputato sig. Matteo Bruni davanti al tribunale di Milano, R.G. n. 26558/2022/21.</t>
  </si>
  <si>
    <t>1.570 € al netto di IVA al 22%, spese generali al 15%, CPA al 4%, ritenuta d’acconto al 20% se applicata e spese vive da documentare.</t>
  </si>
  <si>
    <r>
      <rPr>
        <b/>
        <sz val="11"/>
        <color theme="1"/>
        <rFont val="Calibri"/>
        <family val="2"/>
      </rPr>
      <t>ATTO AGGIUNTIVO 3</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</si>
  <si>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350.259,67 Euro (di cui € 40.487,81 per le attività di CSP ed € 279.176,50 per le attività di CSE ed € 30.595,36 per le attività RdC)</t>
  </si>
  <si>
    <r>
      <rPr>
        <b/>
        <sz val="11"/>
        <color theme="1"/>
        <rFont val="Calibri"/>
        <family val="2"/>
      </rPr>
      <t>ATTO AGGIUNTIVO 4</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</si>
  <si>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109.470,04 Euro (di cui € 8.582,54 per le attività di CSP ed € 90.231,40 per le attività di CSE ed € 10.656,10 per le attività RdC)</t>
  </si>
  <si>
    <r>
      <rPr>
        <b/>
        <sz val="11"/>
        <color theme="1"/>
        <rFont val="Calibri"/>
        <family val="2"/>
      </rPr>
      <t>ATTO AGGIUNTIVO 5</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</si>
  <si>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350.264,74 Euro (di cui € 19.037,35 per le attività di CSP ed € 304.742,47 per le attività di CSE ed € 26.484,92 per le attività RdC)</t>
  </si>
  <si>
    <t xml:space="preserve">B27342AC69 </t>
  </si>
  <si>
    <r>
      <rPr>
        <b/>
        <sz val="11"/>
        <color theme="1"/>
        <rFont val="Calibri"/>
        <family val="2"/>
      </rPr>
      <t>ATTO AGGIUNTIVO</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</si>
  <si>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 xml:space="preserve"> Redazione parere circa la natura giuridica di M4
</t>
  </si>
  <si>
    <t>Incarico professsionale per attività integrativa di assistenza legale in relazione al contratto di finanziamento project ed ai contratti di progetto per la progettazione, costruzione e gestione della Linea 4</t>
  </si>
  <si>
    <t>Il compenso per le prestazioni professionali oggetto del presente incarico è determinato nella misura complessiva di euro 45.000,00 (quarantacinquemila/00), oltre IVA e il 4% dovuto per la cassa di previdenza forense obbligatoria. L’importo predetto sarà comprensivo delle spese generali, ad eccezione delle spese di trasferta che saranno di volta in volta condivise ed approvate dalla Società</t>
  </si>
  <si>
    <t>B2804819D9</t>
  </si>
  <si>
    <t xml:space="preserve">New Ghibli S.r.l. </t>
  </si>
  <si>
    <t>12738700157</t>
  </si>
  <si>
    <t>Conferimento incarico per il servizio di pulizie presso gli uffici di Piazza Castello, 3 Milano. 
M4 affida inoltre l’esecuzione delle piccole manutenzioni edili, elettriche e idrauliche (le prestazioni relative alle piccole manutenzioni saranno retribuite al costo orario evidenziato nell’offerta conomica presentata e dietro presentazione del rapporto di intervento con espressamente indicato l’oggetto della prestazione e le ore impiegate).</t>
  </si>
  <si>
    <t>21.890,90 (ventunomilaottocentonovanta/90 euro), al netto dell’IVA e comprensivo degli oneri della sicurezza.
Qualsiasi ulteriore intervento, eventualmente richiesto, non compreso nel Capitolato descrittivo e prestazionale in allegato, sarà fatturato a parte, al costo orario proposto per il servizio di piccole manutenzioni ordinarie indicato di € 17,54 (diciassette/54 euro), al netto dell’IVA</t>
  </si>
  <si>
    <t>Studio Legale LAWES AVVOCATI ASSOCIATI</t>
  </si>
  <si>
    <t>11432720966</t>
  </si>
  <si>
    <t>B18CB0AFAB</t>
  </si>
  <si>
    <t>Attività di assistenza legale, rappresentanza e difesa, nel giudizio promosso dal Condominio Centro San Babila di Galleria Passarella 1 a Milano, contro la società M4 SPA, davanti al Tribunale di Milano R.G. 7890/2024</t>
  </si>
  <si>
    <t>3.000,00 (tremila/00), al netto di IVA al 22%, spese generali al 15%,
CPA al 4%, ritenuta d’acconto al 20% se applicata e spese vive da documentare</t>
  </si>
  <si>
    <t>Attività di assistenza legale per la valutazione dell’istanza di accesso agli atti presentata a M4 S.p.A. da parte di Schindler S.p.A. in data 27 giugno 2024 e redazione relativo riscontro.</t>
  </si>
  <si>
    <t>€ 1.000 al netto dell’IVA e degli oneri di legge e delle spese generali nella misura del 15% e spese vive da documentare</t>
  </si>
  <si>
    <t>B2990D8BC3</t>
  </si>
  <si>
    <t>Attività di assistenza legale, rappresentanza e difesa, nel giudizio promosso da Hilti S.p.A. contro la società M4 SPA davanti al TAR per la Lombardia.</t>
  </si>
  <si>
    <t>4.000,00 (tremila/00), al netto di IVA al 22%, spese generali al 15%,
CPA al 4%, ritenuta d’acconto al 20% se applicata e spese vive da documentare</t>
  </si>
  <si>
    <t>B2DA1C2911</t>
  </si>
  <si>
    <t>Aassistenza legale, rappresentanza e difesa nel procedimento contro M4 S.p.A., avviato da Speroni Real Estate S.r.l.s. dinanzi alla Corte di cassazione, per richiedere l'annullamento dell'ordinanza n. 819/2024 (RG n. 3609/2021)</t>
  </si>
  <si>
    <t>7.655,00, al netto di IVA al 22%, spese generali al 15%, CPA al 4%, ritenuta d’acconto al 20% se applicata e spese vive da documentare.</t>
  </si>
  <si>
    <t>B2728FB1CD</t>
  </si>
  <si>
    <t>ZC2392D026</t>
  </si>
  <si>
    <t>CIG B34B0F3082</t>
  </si>
  <si>
    <t xml:space="preserve">Consulenza e assistenza legale per l'attività ordinaria e straordinaria in relazione al contratto di finanziamento project </t>
  </si>
  <si>
    <t>Il presente incarico decorre dalla data di sottoscrizione tra le Parti e si concluderà dopo 12 mesi</t>
  </si>
  <si>
    <t>euro 120.000, al netto di IVA al 22%, spese di segreteria e amministrative (forfettizzate al 5% del valore totale degli onorari), nonché le spese vive e tutti gli esborsi sostenuti, oltre all’IVA ed agli onorari previdenziali nella misura di legge.</t>
  </si>
  <si>
    <t>L’attività richiesta ha ad oggetto la redazione di un parere legale in merito alla possibile operazione di riorganizzazione societaria (l’”Operazione”) volta all’acquisizione da parte del Comune di Milano, indirettamente per il tramite di ATM S.p.A. e di M4 S.p.A., di una partecipazione azionaria in M5 S.p.A. finalizzata a garantire la proprietà pubblica delle infrastrutture relative alle linee M4 e M5 e ad individuare la stazione appaltante ai fini degli affidamenti necessari alla realizzazione dei prolungamenti delle predette linee.</t>
  </si>
  <si>
    <t>Il presente incarico terminerà con il completamento di tutte le attività riportate in oggetto</t>
  </si>
  <si>
    <t>B458F73DA9</t>
  </si>
  <si>
    <t>periodo tra il 1 gennaio 2024 al 30 giugno 2024</t>
  </si>
  <si>
    <t>Il compenso per le prestazioni professionali oggetto del presente incarico è determinato nella
misura complessiva di euro 40.000,00 (quarantamila/00), oltre IVA, spese generali al 15%, e il
4% dovuto per la cassa di previdenza forense obbligatoria.
Il predetto compenso sarà ridotto ad euro 30.000,00 (trentamila), oltre IVA, spese generali al 15%,
e il 4% dovuto per la cassa di previdenza forense obbligatoria, laddove nel corso dell’analisi
dovesse emergere una circostanza che, senza necessità di ulteriori approfondimenti, risulti
ostativa alla realizzabilità dell’Operazione secondo le Ipotesi 1 e 2 prospettate</t>
  </si>
  <si>
    <t>SUSTAINALYTICS SARL</t>
  </si>
  <si>
    <t>FR801011875</t>
  </si>
  <si>
    <t>Provider specializzato in grado di emettere una opinion per qualificare il nuovo finanziamento come “green”, dimostrando altresì che l’uso dei proventi derivanti dal nuovo finanziamento abbia lo scopo di finanziare un progetto con caratteristiche di sostenibilità ambientale nel rispetto della best practice di mercato e allineata con i più recenti principi LMA/ICMA.</t>
  </si>
  <si>
    <t>euro 20.000</t>
  </si>
  <si>
    <t>PricewaterhouseCoopers Business Services Srl</t>
  </si>
  <si>
    <t>06234620968</t>
  </si>
  <si>
    <t>Assistenza per la review del Modello Finanziario relativo al rifinanziamento del progetto connesso alla costruzione e gestione della metropolitana di Milano linea M4</t>
  </si>
  <si>
    <t>Il presente incarico decorre dalla data di sottoscrizione tra le Parti fino al completamento delle attività elencate nell'oggetto.</t>
  </si>
  <si>
    <t>euro 30.000 oltre all’IVA ed agli onorari previdenziali nella misura di legge.</t>
  </si>
  <si>
    <t xml:space="preserve">Oggetto del presente incarico è il servizio di Responsabile del Servizio Prevenzione e Protezione qualificato secondo l’art. 32 del D.Lgs 81/2008 e s.m.i., del D.Lgs. 195/2003 e dell’Accordo Stato-Regioni del 07/07/2016. </t>
  </si>
  <si>
    <t xml:space="preserve">Il presente incarico ha la durata di un anno e comunque finché resta attivo l’ordine emesso da M4 S.p.A. n. 21/24 del 5/03/2024, </t>
  </si>
  <si>
    <t>B4464E1A55</t>
  </si>
  <si>
    <t>Il compenso per le prestazioni professionali oggetto del presente incarico è determinato nella misura di euro 14.163,57 (quattordicimilacentosessantatre/57), al netto dell’IVA. Gli importi sono stati aggiornati in base all’indice ISTAT.</t>
  </si>
  <si>
    <t xml:space="preserve">L'oggetto del presente incarico comprende tutte le attività tecniche e professionali necessarie per la fornitura, manutenzione e migrazione alla versione aggiornata della piattaforma digitale per la gestione del protocollo di corrispondenza e la conservazione documentale, in conformità al D.lgs. 82/2005 e successive modifiche. </t>
  </si>
  <si>
    <t>dal 26 settembre 2024 e avrà durata di 12 mesi</t>
  </si>
  <si>
    <t>Il presente incarico ha ad oggetto la documentazione dell’intensità e del decorso temporale degli eventi
vibrazionali all’interno della Parrocchia di San Vittore al Corpo originati dal transito dei convogli della
metropolitana M4 e di eventuali altre sorgenti di emissione vibrazionali interagenti con la Parrocchia</t>
  </si>
  <si>
    <t>Il presente incarico decorrerà dalla data di stipula dell’affidamento e terminerà con il completamento di tutte le attività descritte nell'oggetto.</t>
  </si>
  <si>
    <t>Il compenso per le prestazioni professionali oggetto del presente incarico è determinato nella misura di euro
10.000,00 (diecimila euro/00) oltre agli oneri di legge (Inarcassa 4% e IVA 22%).</t>
  </si>
  <si>
    <t>B477B676A5</t>
  </si>
  <si>
    <t>B43B4CA9F7</t>
  </si>
  <si>
    <t>L'oggetto del presente incarico è il rinnovo del servizio di hosting, supporto e manutenzione del software della piattaforma di legalità SILEG-M4, in conformità e continuità con le attività previste dal contratto originale sottoscritto in data 16/10/2019.</t>
  </si>
  <si>
    <t xml:space="preserve">Il presente incarico decorre dal 1°gennaio 2025 fino al 31 dicembre 2025, con opzione di rinnovo al 31/12/2026 - da esercitare entro il mese di settembre 2025. </t>
  </si>
  <si>
    <t>euro 27.000,00 al netto di IVA al 22%</t>
  </si>
  <si>
    <t>B3A451BDC2</t>
  </si>
  <si>
    <t>Studio Tecnico Geom. Lombardini Claudio</t>
  </si>
  <si>
    <t>00821770187</t>
  </si>
  <si>
    <t>Attività di svolgimento delle pratiche di frazionamento e accatastamento di n. tredici (13) stazioni, n. quattordici (14) manufatti, una (1) pista ciclabile e un (1) deposito con relativa certificazione APE (Attestato di Prestazione Energetica)</t>
  </si>
  <si>
    <t>La durata dei servizi professionali sono pari a 120 (centoventi) giorni naturali e consecutivi dal verbale di avvio del servizio per ogni singola opera e si intenderanno conclusi con l’avvenuta verifica positiva da parte di M4 S.p.A. della correttezza e completezza dei medesimi</t>
  </si>
  <si>
    <t>Il compenso per le prestazioni professionali oggetto del presente incarico è determinato nella misura complessiva di euro 71.162,00 (settantunomilacentosessantadue/00), al netto di IVA al 22% e CIPAG al 5%.</t>
  </si>
  <si>
    <t>B35117DB22</t>
  </si>
  <si>
    <t>L'incarico professionale oggetto del presente disciplinare concerne lo svolgimento dell'attività del broker
di assicurazione a favore di SPV Linea M4 S.p.A le seguenti polizze assicurative:
- D&amp;O;
- RC Patrimoniale;
- Multirischi;
- Infortuni;
- Vita;
- Polizza All Risks property con appendice Business Interruption per la gestione della linea M4 - durata di due anni</t>
  </si>
  <si>
    <t>Il presente incarico ha durata di 24 (ventiquattro) mesi con decorrenza dalla data di aggiudicazione del 12 dicembre 2024</t>
  </si>
  <si>
    <t xml:space="preserve">Le prestazioni fornite  sono a titolo gratuito e quindi nessun onere sarà posto a carico o in aggiunta a SPV Linea M4 S.p.A. </t>
  </si>
  <si>
    <t>09041250151</t>
  </si>
  <si>
    <t>PCA SpA</t>
  </si>
  <si>
    <t>ABLE TECH SRL</t>
  </si>
  <si>
    <t>02355260981</t>
  </si>
  <si>
    <t>Servizio di conservazione a norma di fatturazione elettronica, emissione fatture elettroniche, assistenza nell'emissione delle stesse per l'anno 2025</t>
  </si>
  <si>
    <t>anno 2025</t>
  </si>
  <si>
    <t>euro 1.600 al netto iva oltre alla formazione da pianificare (24 ore) euro 2.160</t>
  </si>
  <si>
    <t>Wind Tre S.p.A.</t>
  </si>
  <si>
    <t>13378520152</t>
  </si>
  <si>
    <t>B5238445AF</t>
  </si>
  <si>
    <t>Servizi Digitali per Connessione Internet, Telefonia Mobile e Fissa VOIP</t>
  </si>
  <si>
    <t>Fatto salvo quanto previsto all’art. 6.3 delle relative Condizioni Generali di Contratto, il Cliente che decida di recedere dall’abbonamento per i Servizi di fonia mobile Wind Tre S.p.A. prima della scadenza del termine di pagamento del corrispettivo del/i Prodotto/i acquistato/i sarà tenuto a pagare gli importi a scadere, potendo scegliere se continuare a godere del piano di rateizzazione o corrispondere il residuo in un’unica soluzione (inclusa l’eventuale rata finale), per ciascun Prodotto acquistato. Il Cliente potrà modificare in qualunque momento la scelta
effettuata al momento dell’attivazione, contattando il Servizio Clienti o indicandolo al momento del recesso</t>
  </si>
  <si>
    <t xml:space="preserve">Canone mensile euro 1.026 al netto di iva
Una Tantum euro 750 al neto di iva </t>
  </si>
  <si>
    <t>Attività stragiudiziale di assistenza legale, rappresentanza e difesa, nel giudizio promosso da Hilti S.p.A. contro la società M4 SPA davanti al TAR per la Lombardia.</t>
  </si>
  <si>
    <t>euro 39.800,00 (trenovemilaottocento/00), pari ad euro 800,00 per la prima istanza completamente espletata e pari ad euro 1.000,00 per tutte le successive 39 istanze, al netto di IVA al 22%, spese generali al 15%, CPA al 4%, ritenuta d’acconto al 20% se applicata e spese vive da documentare.</t>
  </si>
  <si>
    <t>B448DDED6D</t>
  </si>
  <si>
    <t>euro 12.000 oltre iva, spese vive (es. viaggi, pernottamenti etc.), spese accessorie relative alla tecnologia utilizzata</t>
  </si>
  <si>
    <t>3TI ITALIA SPA
SIDING SRL
ALCOTEC SRL
ARCHITECNA ENGINEERING SRL
ROMEO SAFETY SRL
ING. FRANCO PUGLIESE</t>
  </si>
  <si>
    <t>Ft 245 del 30/09/24</t>
  </si>
  <si>
    <t>Studio legale Alberto Bianchi &amp; Partners</t>
  </si>
  <si>
    <t>REPORT CONTRATTI _ TRIMESTRE 01/01/2025 - 31/03/2025</t>
  </si>
  <si>
    <t>IMPORTO CORRISPOSTO (IVA INCLUSA) NEL TRIMESTRE DI RIFERIMENTO        
01/01/2025 - 31/03/2025</t>
  </si>
  <si>
    <t>IMPORTO PROGRESSIVO  LIQUIDATO (IVA INCLUSA) AL 31/03/2025</t>
  </si>
  <si>
    <t>IMPORTO VERSATO (IVA INCLUSA) NEL TRIMESTRE DI RIFERIMENTO        
01/01/2025 - 31/03/2025</t>
  </si>
  <si>
    <t>IMPORTO PROGRESSIVO VERSATO (IVA INCLUSA) AL 31/03/2025</t>
  </si>
  <si>
    <t>revisione contabile del bilancio di esercizio al 31 dicembre 2024, al 31 dicembre 2025, al 31
dicembre 2026 redatto secondo i principi contabili OIC o IAS/IFRS ove applicati;
• revisione contabile limitata della relazione semestrale per i semestri con chiusura 30 giugno
2025, 30 giugno 2026 e 30 giugno 2027 redatto secondo i principi contabili OIC o IAS/IFRS ove
applicati;
• verifica nel corso dell’esercizio della regolare tenuta della contabilità sociale e la corretta
rilevazione dei fatti di gestione nelle scritture contabili per gli esercizi 2024, 2025 e 2026;
• revisione contabile del Reporting Package annuale (31 dicembre 2024, 31 dicembre 2025 e 31
dicembre 2026) e la revisione contabile limitata del Reporting package semestrale redatto
secondo i principi contabili internazionali IAS/IFRS (30 giugno 2025, 30 giugno 2026, 30 giugno
2027);
• verifiche periodiche per le sottoscrizioni delle dichiarazioni fiscali (dichiarazione dei redditi,
modello 770 e IRAP) relativi agli esercizi 2024, 2025 e 2026;10 marzo 2025 3
SPV Linea M4 S.p.A.
• revisione contabile del prospetto relativo alle partite di credito e debito tra l’Ente Comune di
Milano e la SPV Linea M4 S.p.A., predisposto per le finalità dell’art. 11 comma 6 lettera J del
D.Lgs. 23 giugno 2011 n.118;
• verifica di coerenza tra i saldi del bilancio di M4 e i prospetti di bilancio riclassificati nella forma
richiesta dal Comune di Milano.</t>
  </si>
  <si>
    <t>03049560166</t>
  </si>
  <si>
    <t xml:space="preserve">Triennale. </t>
  </si>
  <si>
    <t>29.835,00 annuale
Verranno inoltre addebitate l’eventuale contributo di vigilanza nella misura dovuta e l’IVA.</t>
  </si>
  <si>
    <t>B273F2D2BC</t>
  </si>
  <si>
    <t>Attività di assesment dei processi interni di M4, relativamente alla gestione e al controllo dei processi di analisi dei rischi informatici</t>
  </si>
  <si>
    <t>Il presente incarico decorre dalla data di sottoscrizione fino al 31 dicembre 2024</t>
  </si>
  <si>
    <t xml:space="preserve">euro 60.000,00 al netto di IVA </t>
  </si>
  <si>
    <t>B53740DDC7</t>
  </si>
  <si>
    <t>MRPAYROLLADVICE S.T.P. A.R.L.</t>
  </si>
  <si>
    <t>B4BD44A8BC</t>
  </si>
  <si>
    <t>12421270962</t>
  </si>
  <si>
    <t>49.000 oltre oneri e contributi di legge</t>
  </si>
  <si>
    <t>Il presente contratto avrà la durata di 3 (tre) anni a partire dal 1 gennaio 2025 e fino al 31 dicembre 2027 e potrà essere prorogato per il periodo strettamento necessario all’individuazione di un nuovo affidatario per un periodo massimo di 3 (tre) mesi alle medesime condizioni previste da contratto.</t>
  </si>
  <si>
    <t>l presente incarico ha ad oggetto la redazione e conclusione di un atto notarile di compravendita volto all’acquisizione, in favore del Comune di Milano, di un’area di proprietà della Stice S.r.l., oltre che lo svolgimento delle attività inerenti alla conclusione dell’atto.</t>
  </si>
  <si>
    <t>2.500 oltre oneri e contributi di legge</t>
  </si>
  <si>
    <t>B5728C3474</t>
  </si>
  <si>
    <t>Prestazioni tecniche e professionali relative alla fornitura, manutenzione e implementazione della piattaforma di e-procurement TuttoGare</t>
  </si>
  <si>
    <t>9.000 Euro escluso iva</t>
  </si>
  <si>
    <t>B57940ABA1</t>
  </si>
  <si>
    <t>Il presente incarico decorre dalla data di aggiudicazione del servizio e ha una durata di 12 (dodici) mesi, con scadenza 31.12.2025</t>
  </si>
  <si>
    <t>B51F948BBB</t>
  </si>
  <si>
    <t xml:space="preserve">27 dicembre 2024 fino al 30 giugno 2025 </t>
  </si>
  <si>
    <t>B60A5F02FD</t>
  </si>
  <si>
    <t>Incarico per l'assistenza alle attività dell'OdV ex D.Lgs 231/2001 - Esercizio 2024</t>
  </si>
  <si>
    <t>Incarico per l'assistenza alle attività dell'OdV ex D.Lgs 231/2001 - Esercizio 2025</t>
  </si>
  <si>
    <t>Il presente incarico decorrerà dalla data di sottoscrizione e terminerà in data 31 dicembre 2025</t>
  </si>
  <si>
    <t>B5A83C2227</t>
  </si>
  <si>
    <t>Il presente contratto decorrerà a partire dalla data di sottoscrizione, per un periodo minimo di diciotto mesi, e terminerà ad esaurimento dell’importo contrattuale.</t>
  </si>
  <si>
    <t>60.000 € al netto dell’IVA e altri oneri di legge se dovuti</t>
  </si>
  <si>
    <t>Assistenza legale già prestata a favore dei Finanziatori fino alla data del closing in relazione, tra l’altro, alla finalizzazione con il Comune di Milano e alla stipula dell’atto integrativo n. 3 alla Convenzione, alla sottoscrizione tramite novation dei Contrattidi Hedging con le nuove Banche Hedging e, in generale, alla transizione dal precedente pool di finanziatori all’attuale</t>
  </si>
  <si>
    <t>onorari al 31.12.2024 Euro 30.000 maggiorato delle spese e oneri di legge sarà corrisposto dalla Società entro il 31 marzo 2025
onorari dal 01.01.2025 Euro 90.000 cap massimo su base annuale</t>
  </si>
  <si>
    <t>Studio legale e Tributario - EY</t>
  </si>
  <si>
    <t>Z983B64AAD</t>
  </si>
  <si>
    <t>Il presente incarico ha ad oggetto l'attività di assistenza, rappresentanza e difesa nel giudizio promosso ex art. 281- decies c.p.c. a carico di M4 S.p.A. dinanzi al Tribunale di Milano da parte di Schindler S.p.A.</t>
  </si>
  <si>
    <t>Il presente incarico decorrerà dalla data di stipula del contratto e terminerà con il completamento di
tutte le attività descritte  nell'oggetto</t>
  </si>
  <si>
    <t>euro 8.000,00 oltre a spese generali ex art. 13 (15%), contributo per la Cassa Previdenza Avvocati (4%), IVA (22%), a dedurre ritenuta d’acconto 20%;</t>
  </si>
  <si>
    <t>B58DF5718B</t>
  </si>
  <si>
    <t>La durata del presente contratto decorre dal 25 febbraio 2025 al 24 agosto 2025</t>
  </si>
  <si>
    <t xml:space="preserve"> euro 16.000,00 comprensivo di IVA e di ogni altro onere di legge</t>
  </si>
  <si>
    <t>Oggetto del presente incarico è la realizzazione di progetti di comunicazione pubblicitaria e di valorizzazione degli spazi urbani, anche attraverso eventi e iniziative con finalità sociali e culturali.</t>
  </si>
  <si>
    <t xml:space="preserve">Noleggio n. 2 auto
Febbraio 2025 riconsegnato n. 1 auto </t>
  </si>
  <si>
    <t>Euro 2.000 annuali, iva esclusa</t>
  </si>
  <si>
    <t>Ft 5 del 14/01/2025</t>
  </si>
  <si>
    <t>*</t>
  </si>
  <si>
    <t>Ft 135 del 16/12/2024</t>
  </si>
  <si>
    <r>
      <rPr>
        <u/>
        <sz val="11"/>
        <color theme="1"/>
        <rFont val="Calibri"/>
        <family val="2"/>
        <scheme val="minor"/>
      </rPr>
      <t xml:space="preserve">Macchine già in uso
</t>
    </r>
    <r>
      <rPr>
        <sz val="11"/>
        <color theme="1"/>
        <rFont val="Calibri"/>
        <family val="2"/>
        <scheme val="minor"/>
      </rPr>
      <t xml:space="preserve">Noleggio n. 2 multifunzione Konika-Minolta </t>
    </r>
  </si>
  <si>
    <t>Ft 0821000041 del 15/01/2025</t>
  </si>
  <si>
    <t>Incarico professionale ha ad oggetto lo svolgimento dell’attività di consulenza tecnica di parte (C.T.P.) nell’ambito del giudizio di accertamento tecnico preventivo promosso dal Condomino Centro San Babila di Galleria Passarella</t>
  </si>
  <si>
    <t>3,800 oltre oneri e contributi di legge</t>
  </si>
  <si>
    <t>Il presente incarico decorrerà dalla data di sottoscrizione e terminerà con il completamento di tutte le attività finalizzate alla determinazione dell’indennità definitiva.</t>
  </si>
  <si>
    <t>B2B679B7E4</t>
  </si>
  <si>
    <t>Z5131ADFBA</t>
  </si>
  <si>
    <t>Ft 20022025 del 20/02/2025</t>
  </si>
  <si>
    <r>
      <t xml:space="preserve">distacco decorre dal 12/12/2022 al 27/11/2023
</t>
    </r>
    <r>
      <rPr>
        <b/>
        <sz val="11"/>
        <color theme="1"/>
        <rFont val="Calibri"/>
        <family val="2"/>
      </rPr>
      <t>il distatcco viene prorogato dalle parti fino al 31/05/2025 alle medesime condizioni</t>
    </r>
    <r>
      <rPr>
        <sz val="11"/>
        <color theme="1"/>
        <rFont val="Calibri"/>
        <family val="2"/>
        <scheme val="minor"/>
      </rPr>
      <t xml:space="preserve">
la convenzione avrà durata sino al 27/11/2023 con possibilità di proroga da definirsi entro 30 gg dalla scadenza</t>
    </r>
  </si>
  <si>
    <r>
      <t xml:space="preserve">distacco decorre dal 1/12/2020 al 30/11/2023
</t>
    </r>
    <r>
      <rPr>
        <b/>
        <sz val="11"/>
        <color theme="1"/>
        <rFont val="Calibri"/>
        <family val="2"/>
      </rPr>
      <t xml:space="preserve">il distatcco viene prorogato dalle parti fino al 31/05/2025 alle medesime condizioni
</t>
    </r>
    <r>
      <rPr>
        <sz val="11"/>
        <color theme="1"/>
        <rFont val="Calibri"/>
        <family val="2"/>
        <scheme val="minor"/>
      </rPr>
      <t xml:space="preserve">
la convenzione con la UR UIL Lombardia e Milano  avrà durata sino al 30/11/2023 con possibilità di proroga da definirsi entro 30 gg dalla scadenza</t>
    </r>
  </si>
  <si>
    <r>
      <t xml:space="preserve">distacco decorre dal 1/12/2020 al 30/11/2023
</t>
    </r>
    <r>
      <rPr>
        <b/>
        <sz val="11"/>
        <color theme="1"/>
        <rFont val="Calibri"/>
        <family val="2"/>
      </rPr>
      <t>il distatcco viene prorogato dalle parti fino al 31/05/2025 alle medesime condizioni</t>
    </r>
    <r>
      <rPr>
        <sz val="11"/>
        <color theme="1"/>
        <rFont val="Calibri"/>
        <family val="2"/>
        <scheme val="minor"/>
      </rPr>
      <t xml:space="preserve">
la convenzione con la camera del lavoro avrà durata sino al 30/11/2023 con possibilità di proroga da definirsi entro 30 gg dalla scadenza</t>
    </r>
  </si>
  <si>
    <t>28/01/2025
21/03/2025</t>
  </si>
  <si>
    <t>B4CBEFA453</t>
  </si>
  <si>
    <t>Ft 3/2025 del 28/02/2025</t>
  </si>
  <si>
    <t>Il compenso per il servizio di ricovero di 25 auto è pari ad € 200,00 mensili a vettura iva esclusa, per un importo massimo di € 35.000 iva esclusa, comprensivi di proroga.</t>
  </si>
  <si>
    <t>Ft 2420100081 del 06/11/2024
Ft 2420100082 del 06/11/2024
Ft 2520100001 del 13/11/2025
Ft 2520100002 del 13/11/2025</t>
  </si>
  <si>
    <t>Ft n. 202 del 10/02/2025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</si>
</sst>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quot;€&quot;\ #,##0_);[Red]\(&quot;€&quot;\ #,##0\)"/>
    <numFmt numFmtId="165" formatCode="#,##0\ [$€-1];[Red]\-#,##0\ [$€-1]"/>
    <numFmt numFmtId="166" formatCode="_-* #,##0_-;\-* #,##0_-;_-* &quot;-&quot;??_-;_-@_-"/>
  </numFmts>
  <fonts count="24" x14ac:knownFonts="1">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b/>
      <sz val="7.7"/>
      <color theme="1"/>
      <name val="Calibri"/>
      <family val="2"/>
    </font>
    <font>
      <sz val="9.35"/>
      <color theme="1"/>
      <name val="Calibri"/>
      <family val="2"/>
    </font>
    <font>
      <sz val="11"/>
      <color theme="1"/>
      <name val="Arial Narrow"/>
      <family val="2"/>
    </font>
    <font>
      <b/>
      <sz val="11"/>
      <color rgb="FF0070C0"/>
      <name val="Calibri"/>
      <family val="2"/>
    </font>
    <font>
      <b/>
      <sz val="15"/>
      <color theme="1"/>
      <name val="Calibri"/>
      <family val="2"/>
      <scheme val="minor"/>
    </font>
    <font>
      <sz val="11"/>
      <color rgb="FF000000"/>
      <name val="ArialMT"/>
    </font>
    <font>
      <b/>
      <sz val="10"/>
      <color rgb="FF0070C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01">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2"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5"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19"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right" vertical="center" wrapText="1"/>
    </xf>
    <xf numFmtId="43" fontId="1" fillId="2" borderId="1" xfId="1" applyFont="1" applyFill="1" applyBorder="1" applyAlignment="1">
      <alignment horizontal="center" vertical="center" wrapText="1"/>
    </xf>
    <xf numFmtId="0" fontId="1" fillId="2" borderId="1" xfId="0" applyFont="1" applyFill="1" applyBorder="1" applyAlignment="1">
      <alignment horizontal="right" vertical="center" wrapText="1"/>
    </xf>
    <xf numFmtId="14" fontId="0" fillId="0" borderId="7" xfId="0" applyNumberFormat="1" applyBorder="1" applyAlignment="1">
      <alignment horizontal="center" vertical="center" wrapText="1"/>
    </xf>
    <xf numFmtId="4" fontId="0" fillId="0" borderId="0" xfId="0" applyNumberFormat="1"/>
    <xf numFmtId="14" fontId="0" fillId="0" borderId="1" xfId="0" applyNumberFormat="1" applyBorder="1" applyAlignment="1">
      <alignment horizontal="right" vertical="center" wrapText="1"/>
    </xf>
    <xf numFmtId="6" fontId="0" fillId="0" borderId="1" xfId="0" applyNumberFormat="1" applyBorder="1" applyAlignment="1">
      <alignment horizontal="left" vertical="center"/>
    </xf>
    <xf numFmtId="0" fontId="5" fillId="0" borderId="0" xfId="0" applyFont="1" applyAlignment="1">
      <alignment horizontal="left" vertical="center"/>
    </xf>
    <xf numFmtId="0" fontId="0" fillId="0" borderId="9" xfId="0" applyBorder="1" applyAlignment="1">
      <alignment horizontal="right" vertical="center"/>
    </xf>
    <xf numFmtId="0" fontId="8" fillId="0" borderId="9" xfId="0" applyFont="1" applyBorder="1" applyAlignment="1">
      <alignment horizontal="center" vertical="center"/>
    </xf>
    <xf numFmtId="43" fontId="0" fillId="0" borderId="9" xfId="1"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quotePrefix="1" applyFont="1" applyBorder="1" applyAlignment="1">
      <alignment horizontal="center" vertical="center"/>
    </xf>
    <xf numFmtId="14" fontId="3" fillId="0" borderId="9" xfId="0" applyNumberFormat="1" applyFont="1" applyBorder="1" applyAlignment="1">
      <alignment horizontal="left" vertical="center" wrapText="1"/>
    </xf>
    <xf numFmtId="0" fontId="22" fillId="0" borderId="9" xfId="0" applyFont="1" applyBorder="1" applyAlignment="1">
      <alignment vertical="center" wrapText="1"/>
    </xf>
    <xf numFmtId="0" fontId="22" fillId="0" borderId="1" xfId="0" applyFont="1" applyBorder="1" applyAlignment="1">
      <alignment vertical="center" wrapText="1"/>
    </xf>
    <xf numFmtId="0" fontId="22" fillId="0" borderId="1" xfId="0" applyFont="1" applyBorder="1" applyAlignment="1">
      <alignment wrapText="1"/>
    </xf>
    <xf numFmtId="14" fontId="11" fillId="0" borderId="1" xfId="0" applyNumberFormat="1" applyFont="1" applyBorder="1" applyAlignment="1">
      <alignment horizontal="left" vertical="center" wrapText="1"/>
    </xf>
    <xf numFmtId="4" fontId="0" fillId="0" borderId="1" xfId="0" applyNumberFormat="1" applyBorder="1" applyAlignment="1">
      <alignment vertical="center"/>
    </xf>
    <xf numFmtId="14" fontId="0" fillId="0" borderId="2" xfId="0" applyNumberFormat="1" applyBorder="1" applyAlignment="1">
      <alignment horizontal="left" vertical="center"/>
    </xf>
    <xf numFmtId="6" fontId="0" fillId="0" borderId="1" xfId="0" applyNumberFormat="1" applyBorder="1" applyAlignment="1">
      <alignment horizontal="left" vertical="center" wrapText="1"/>
    </xf>
    <xf numFmtId="0" fontId="2"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14" fontId="0" fillId="0" borderId="1" xfId="1" quotePrefix="1" applyNumberFormat="1" applyFont="1" applyBorder="1" applyAlignment="1">
      <alignment horizontal="right" vertical="center" wrapText="1"/>
    </xf>
    <xf numFmtId="43" fontId="3" fillId="0" borderId="1" xfId="1" quotePrefix="1" applyFont="1" applyBorder="1" applyAlignment="1">
      <alignment horizontal="center" vertical="center" wrapText="1"/>
    </xf>
    <xf numFmtId="43" fontId="0" fillId="0" borderId="1" xfId="1" applyFont="1" applyFill="1" applyBorder="1" applyAlignment="1">
      <alignment horizontal="right" vertical="center"/>
    </xf>
    <xf numFmtId="43" fontId="0" fillId="0" borderId="1" xfId="1" quotePrefix="1" applyFont="1" applyFill="1" applyBorder="1" applyAlignment="1">
      <alignment horizontal="left" vertical="center" wrapText="1"/>
    </xf>
    <xf numFmtId="14" fontId="8" fillId="0" borderId="9" xfId="0" applyNumberFormat="1" applyFont="1" applyBorder="1" applyAlignment="1">
      <alignment horizontal="center" vertical="center"/>
    </xf>
    <xf numFmtId="43" fontId="0" fillId="0" borderId="1" xfId="1" quotePrefix="1" applyFont="1" applyFill="1" applyBorder="1" applyAlignment="1">
      <alignment horizontal="right" vertical="center" wrapText="1"/>
    </xf>
    <xf numFmtId="43" fontId="0" fillId="0" borderId="1" xfId="7" quotePrefix="1" applyFont="1" applyFill="1" applyBorder="1" applyAlignment="1">
      <alignment horizontal="right" vertical="center" wrapText="1"/>
    </xf>
    <xf numFmtId="43" fontId="0" fillId="0" borderId="1" xfId="1" applyFont="1" applyFill="1" applyBorder="1" applyAlignment="1">
      <alignment horizontal="center" vertical="center" wrapText="1"/>
    </xf>
    <xf numFmtId="3" fontId="0" fillId="0" borderId="1" xfId="0" applyNumberFormat="1" applyBorder="1" applyAlignment="1">
      <alignment horizontal="right" vertical="center" wrapText="1"/>
    </xf>
    <xf numFmtId="0" fontId="0" fillId="0" borderId="4" xfId="0" applyBorder="1" applyAlignment="1">
      <alignment horizontal="center" vertical="center"/>
    </xf>
    <xf numFmtId="4" fontId="0" fillId="0" borderId="1" xfId="0" applyNumberFormat="1" applyBorder="1" applyAlignment="1">
      <alignment horizontal="center" vertical="center"/>
    </xf>
    <xf numFmtId="2" fontId="0" fillId="0" borderId="1" xfId="1" quotePrefix="1" applyNumberFormat="1" applyFont="1" applyBorder="1" applyAlignment="1">
      <alignment horizontal="right" vertical="center" wrapText="1"/>
    </xf>
  </cellXfs>
  <cellStyles count="11">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5 2" xfId="10" xr:uid="{8781B4AB-F9CE-46D2-92E9-A6EA76AAF98B}"/>
    <cellStyle name="Migliaia 6" xfId="8" xr:uid="{00000000-0005-0000-0000-000036000000}"/>
    <cellStyle name="Migliaia 7" xfId="9" xr:uid="{8C8FB9E0-3C5A-42C6-97B4-0CE6F96280C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204107</xdr:colOff>
      <xdr:row>0</xdr:row>
      <xdr:rowOff>95250</xdr:rowOff>
    </xdr:from>
    <xdr:to>
      <xdr:col>1</xdr:col>
      <xdr:colOff>1232807</xdr:colOff>
      <xdr:row>0</xdr:row>
      <xdr:rowOff>738188</xdr:rowOff>
    </xdr:to>
    <xdr:pic>
      <xdr:nvPicPr>
        <xdr:cNvPr id="16173" name="Immagine 16172" descr="M4_Logo">
          <a:extLst>
            <a:ext uri="{FF2B5EF4-FFF2-40B4-BE49-F238E27FC236}">
              <a16:creationId xmlns:a16="http://schemas.microsoft.com/office/drawing/2014/main" id="{FF81B47F-4ED2-4609-9B54-A1F688595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95250"/>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35718</xdr:rowOff>
    </xdr:from>
    <xdr:to>
      <xdr:col>1</xdr:col>
      <xdr:colOff>1040606</xdr:colOff>
      <xdr:row>0</xdr:row>
      <xdr:rowOff>678656</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5718"/>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91"/>
  <sheetViews>
    <sheetView showGridLines="0" tabSelected="1" zoomScale="70" zoomScaleNormal="70" workbookViewId="0">
      <pane xSplit="2" ySplit="2" topLeftCell="D3" activePane="bottomRight" state="frozen"/>
      <selection pane="topRight" activeCell="C1" sqref="C1"/>
      <selection pane="bottomLeft" activeCell="A3" sqref="A3"/>
      <selection pane="bottomRight" activeCell="G291" sqref="G291"/>
    </sheetView>
  </sheetViews>
  <sheetFormatPr defaultColWidth="20.7109375" defaultRowHeight="19.5" x14ac:dyDescent="0.25"/>
  <cols>
    <col min="1" max="1" width="5.42578125" customWidth="1"/>
    <col min="2" max="2" width="30.140625" bestFit="1" customWidth="1"/>
    <col min="3" max="3" width="26.85546875" customWidth="1"/>
    <col min="4" max="4" width="54.28515625" style="8" customWidth="1"/>
    <col min="5" max="5" width="23.5703125" style="7" bestFit="1" customWidth="1"/>
    <col min="6" max="6" width="51.5703125" style="7" customWidth="1"/>
    <col min="7" max="7" width="52" style="22" customWidth="1"/>
    <col min="8" max="8" width="22.85546875" style="22" customWidth="1"/>
    <col min="9" max="9" width="17.140625" style="22" customWidth="1"/>
    <col min="10" max="10" width="14.42578125" style="63" customWidth="1"/>
    <col min="11" max="11" width="20.28515625" style="18" customWidth="1"/>
    <col min="12" max="12" width="19" customWidth="1"/>
    <col min="13" max="13" width="25.5703125" customWidth="1"/>
  </cols>
  <sheetData>
    <row r="1" spans="2:14" ht="66.75" customHeight="1" x14ac:dyDescent="0.25">
      <c r="C1" s="14"/>
      <c r="D1" s="173" t="s">
        <v>995</v>
      </c>
      <c r="H1" s="114"/>
      <c r="I1" s="114"/>
      <c r="J1" s="114"/>
      <c r="K1" s="114"/>
    </row>
    <row r="2" spans="2:14" ht="105" x14ac:dyDescent="0.25">
      <c r="B2" s="156" t="s">
        <v>0</v>
      </c>
      <c r="C2" s="156" t="s">
        <v>71</v>
      </c>
      <c r="D2" s="156" t="s">
        <v>1</v>
      </c>
      <c r="E2" s="156" t="s">
        <v>2</v>
      </c>
      <c r="F2" s="156" t="s">
        <v>18</v>
      </c>
      <c r="G2" s="156" t="s">
        <v>74</v>
      </c>
      <c r="H2" s="156" t="s">
        <v>592</v>
      </c>
      <c r="I2" s="156" t="s">
        <v>593</v>
      </c>
      <c r="J2" s="156" t="s">
        <v>834</v>
      </c>
      <c r="K2" s="167" t="s">
        <v>996</v>
      </c>
      <c r="L2" s="167" t="s">
        <v>997</v>
      </c>
      <c r="M2" s="156" t="s">
        <v>132</v>
      </c>
      <c r="N2" s="156" t="s">
        <v>751</v>
      </c>
    </row>
    <row r="3" spans="2:14" ht="30" x14ac:dyDescent="0.25">
      <c r="B3" s="6" t="s">
        <v>69</v>
      </c>
      <c r="C3" s="12">
        <v>4157540966</v>
      </c>
      <c r="D3" s="4" t="s">
        <v>5</v>
      </c>
      <c r="E3" s="3">
        <v>42474</v>
      </c>
      <c r="F3" s="2" t="s">
        <v>3</v>
      </c>
      <c r="G3" s="5" t="s">
        <v>106</v>
      </c>
      <c r="H3" s="5"/>
      <c r="I3" s="31"/>
      <c r="J3" s="64"/>
      <c r="K3" s="45"/>
      <c r="L3" s="16">
        <v>34038</v>
      </c>
      <c r="M3" s="1" t="s">
        <v>130</v>
      </c>
      <c r="N3" s="140"/>
    </row>
    <row r="4" spans="2:14" ht="105" x14ac:dyDescent="0.25">
      <c r="B4" s="6" t="s">
        <v>7</v>
      </c>
      <c r="C4" s="12">
        <v>3049560166</v>
      </c>
      <c r="D4" s="5" t="s">
        <v>4</v>
      </c>
      <c r="E4" s="3">
        <v>42045</v>
      </c>
      <c r="F4" s="2" t="s">
        <v>6</v>
      </c>
      <c r="G4" s="4" t="s">
        <v>107</v>
      </c>
      <c r="H4" s="4"/>
      <c r="I4" s="40"/>
      <c r="J4" s="65"/>
      <c r="K4" s="46"/>
      <c r="L4" s="15">
        <f>68588+1409.1+17820+17887+1433+1062</f>
        <v>108199.1</v>
      </c>
      <c r="M4" s="1" t="s">
        <v>130</v>
      </c>
      <c r="N4" s="140"/>
    </row>
    <row r="5" spans="2:14" ht="60" x14ac:dyDescent="0.25">
      <c r="B5" s="6" t="s">
        <v>7</v>
      </c>
      <c r="C5" s="12">
        <v>3049560166</v>
      </c>
      <c r="D5" s="5" t="s">
        <v>43</v>
      </c>
      <c r="E5" s="3">
        <v>42781</v>
      </c>
      <c r="F5" s="2" t="s">
        <v>44</v>
      </c>
      <c r="G5" s="44" t="s">
        <v>182</v>
      </c>
      <c r="H5" s="44"/>
      <c r="I5" s="100"/>
      <c r="J5" s="66"/>
      <c r="K5" s="45"/>
      <c r="L5" s="16">
        <f>7686+7686</f>
        <v>15372</v>
      </c>
      <c r="M5" s="1" t="s">
        <v>130</v>
      </c>
      <c r="N5" s="140"/>
    </row>
    <row r="6" spans="2:14" ht="45" x14ac:dyDescent="0.25">
      <c r="B6" s="6" t="s">
        <v>7</v>
      </c>
      <c r="C6" s="12">
        <v>3049560166</v>
      </c>
      <c r="D6" s="4" t="s">
        <v>41</v>
      </c>
      <c r="E6" s="3">
        <v>42786</v>
      </c>
      <c r="F6" s="1" t="s">
        <v>42</v>
      </c>
      <c r="G6" s="4" t="s">
        <v>108</v>
      </c>
      <c r="H6" s="4"/>
      <c r="I6" s="40"/>
      <c r="J6" s="65"/>
      <c r="K6" s="46"/>
      <c r="L6" s="15"/>
      <c r="M6" s="30" t="s">
        <v>130</v>
      </c>
      <c r="N6" s="140"/>
    </row>
    <row r="7" spans="2:14" ht="150" x14ac:dyDescent="0.25">
      <c r="B7" s="6" t="s">
        <v>499</v>
      </c>
      <c r="C7" s="12">
        <v>4596040966</v>
      </c>
      <c r="D7" s="4" t="s">
        <v>594</v>
      </c>
      <c r="E7" s="10" t="s">
        <v>595</v>
      </c>
      <c r="F7" s="1" t="s">
        <v>596</v>
      </c>
      <c r="G7" s="36" t="s">
        <v>109</v>
      </c>
      <c r="H7" s="98"/>
      <c r="I7" s="93"/>
      <c r="J7" s="73"/>
      <c r="K7" s="51"/>
      <c r="L7" s="17">
        <f>1141143.97+191636.24+284419.19+469975.05+133081.19+167374.66+47929.31+233261.83+24742.49+40458.93+13140.69+10259.17+9899.66+50954.75+2350.27+27573.76+188875.87+16284.87+9610.75+47458.21+8454.58+8697.3+287233.42+117301.5+12198.59+301793.8+15517.63+108836.82</f>
        <v>3970464.5</v>
      </c>
      <c r="M7" s="30" t="s">
        <v>129</v>
      </c>
      <c r="N7" s="140"/>
    </row>
    <row r="8" spans="2:14" ht="90" x14ac:dyDescent="0.25">
      <c r="B8" s="6" t="s">
        <v>499</v>
      </c>
      <c r="C8" s="12">
        <v>4596040966</v>
      </c>
      <c r="D8" s="4" t="s">
        <v>9</v>
      </c>
      <c r="E8" s="3">
        <v>42614</v>
      </c>
      <c r="F8" s="1" t="s">
        <v>8</v>
      </c>
      <c r="G8" s="4" t="s">
        <v>8</v>
      </c>
      <c r="H8" s="4"/>
      <c r="I8" s="40"/>
      <c r="J8" s="65"/>
      <c r="K8" s="48"/>
      <c r="L8" s="19"/>
      <c r="M8" s="30" t="s">
        <v>129</v>
      </c>
      <c r="N8" s="140"/>
    </row>
    <row r="9" spans="2:14" ht="90" x14ac:dyDescent="0.25">
      <c r="B9" s="6" t="s">
        <v>499</v>
      </c>
      <c r="C9" s="12">
        <v>4596040966</v>
      </c>
      <c r="D9" s="4" t="s">
        <v>12</v>
      </c>
      <c r="E9" s="3">
        <v>42605</v>
      </c>
      <c r="F9" s="1" t="s">
        <v>8</v>
      </c>
      <c r="G9" s="4" t="s">
        <v>8</v>
      </c>
      <c r="H9" s="4"/>
      <c r="I9" s="40"/>
      <c r="J9" s="65"/>
      <c r="K9" s="48"/>
      <c r="L9" s="19"/>
      <c r="M9" s="30" t="s">
        <v>129</v>
      </c>
      <c r="N9" s="140"/>
    </row>
    <row r="10" spans="2:14" ht="90" x14ac:dyDescent="0.25">
      <c r="B10" s="6" t="s">
        <v>499</v>
      </c>
      <c r="C10" s="12">
        <v>4596040966</v>
      </c>
      <c r="D10" s="4" t="s">
        <v>10</v>
      </c>
      <c r="E10" s="3">
        <v>42565</v>
      </c>
      <c r="F10" s="1" t="s">
        <v>8</v>
      </c>
      <c r="G10" s="4" t="s">
        <v>8</v>
      </c>
      <c r="H10" s="4"/>
      <c r="I10" s="40"/>
      <c r="J10" s="65"/>
      <c r="K10" s="48"/>
      <c r="L10" s="19"/>
      <c r="M10" s="30" t="s">
        <v>129</v>
      </c>
      <c r="N10" s="140"/>
    </row>
    <row r="11" spans="2:14" ht="90" x14ac:dyDescent="0.25">
      <c r="B11" s="6" t="s">
        <v>499</v>
      </c>
      <c r="C11" s="12">
        <v>4596040966</v>
      </c>
      <c r="D11" s="4" t="s">
        <v>11</v>
      </c>
      <c r="E11" s="3">
        <v>42605</v>
      </c>
      <c r="F11" s="1" t="s">
        <v>8</v>
      </c>
      <c r="G11" s="4" t="s">
        <v>8</v>
      </c>
      <c r="H11" s="4"/>
      <c r="I11" s="40"/>
      <c r="J11" s="65"/>
      <c r="K11" s="48"/>
      <c r="L11" s="19"/>
      <c r="M11" s="30" t="s">
        <v>129</v>
      </c>
      <c r="N11" s="140"/>
    </row>
    <row r="12" spans="2:14" ht="30" x14ac:dyDescent="0.25">
      <c r="B12" s="6" t="s">
        <v>499</v>
      </c>
      <c r="C12" s="12">
        <v>4596040966</v>
      </c>
      <c r="D12" s="4" t="s">
        <v>51</v>
      </c>
      <c r="E12" s="3">
        <v>42774</v>
      </c>
      <c r="F12" s="1" t="s">
        <v>52</v>
      </c>
      <c r="G12" s="5" t="s">
        <v>53</v>
      </c>
      <c r="H12" s="5"/>
      <c r="I12" s="31"/>
      <c r="J12" s="64"/>
      <c r="K12" s="49"/>
      <c r="L12" s="11"/>
      <c r="M12" s="30" t="s">
        <v>129</v>
      </c>
      <c r="N12" s="140"/>
    </row>
    <row r="13" spans="2:14" x14ac:dyDescent="0.25">
      <c r="B13" s="6" t="s">
        <v>499</v>
      </c>
      <c r="C13" s="12">
        <v>4596040966</v>
      </c>
      <c r="D13" s="4" t="s">
        <v>54</v>
      </c>
      <c r="E13" s="3">
        <v>42793</v>
      </c>
      <c r="F13" s="1" t="s">
        <v>52</v>
      </c>
      <c r="G13" s="5" t="s">
        <v>55</v>
      </c>
      <c r="H13" s="5"/>
      <c r="I13" s="31"/>
      <c r="J13" s="64"/>
      <c r="K13" s="49"/>
      <c r="L13" s="11"/>
      <c r="M13" s="30" t="s">
        <v>129</v>
      </c>
      <c r="N13" s="140"/>
    </row>
    <row r="14" spans="2:14" ht="120" x14ac:dyDescent="0.25">
      <c r="B14" s="6" t="s">
        <v>13</v>
      </c>
      <c r="C14" s="12">
        <v>2309220602</v>
      </c>
      <c r="D14" s="4" t="s">
        <v>837</v>
      </c>
      <c r="E14" s="10" t="s">
        <v>342</v>
      </c>
      <c r="F14" s="3">
        <v>44316</v>
      </c>
      <c r="G14" s="39" t="s">
        <v>425</v>
      </c>
      <c r="H14" s="2"/>
      <c r="I14" s="3"/>
      <c r="J14" s="62"/>
      <c r="K14" s="47"/>
      <c r="L14" s="11">
        <f>337339.76+19646.88+19921+12012+53130+61218+18018+70290+23870+14113+14872+37466+27412+34166+32461+17424+12749+12775</f>
        <v>818883.64</v>
      </c>
      <c r="M14" s="30" t="s">
        <v>130</v>
      </c>
      <c r="N14" s="140"/>
    </row>
    <row r="15" spans="2:14" ht="75" x14ac:dyDescent="0.25">
      <c r="B15" s="6" t="s">
        <v>93</v>
      </c>
      <c r="C15" s="21" t="s">
        <v>710</v>
      </c>
      <c r="D15" s="4" t="s">
        <v>426</v>
      </c>
      <c r="E15" s="20">
        <v>41942</v>
      </c>
      <c r="F15" s="3">
        <v>44316</v>
      </c>
      <c r="G15" s="84" t="s">
        <v>264</v>
      </c>
      <c r="H15" s="88"/>
      <c r="I15" s="3"/>
      <c r="J15" s="62"/>
      <c r="K15" s="47"/>
      <c r="L15" s="11">
        <f>401029.86+32615+58002.25+13365+564.79+32905+1074.82+48741+32615+36773+45034+19206+34792.8+68047.8+828.07+45823+20909.2+1381.49+25213.8+27346.9+1365.62+27310.4+480.62</f>
        <v>975425.41999999993</v>
      </c>
      <c r="M15" s="30" t="s">
        <v>130</v>
      </c>
      <c r="N15" s="140"/>
    </row>
    <row r="16" spans="2:14" ht="105" x14ac:dyDescent="0.25">
      <c r="B16" s="6" t="s">
        <v>70</v>
      </c>
      <c r="C16" s="12">
        <v>1742310152</v>
      </c>
      <c r="D16" s="4" t="s">
        <v>14</v>
      </c>
      <c r="E16" s="3"/>
      <c r="F16" s="10" t="s">
        <v>150</v>
      </c>
      <c r="G16" s="39" t="s">
        <v>151</v>
      </c>
      <c r="H16" s="37"/>
      <c r="I16" s="87"/>
      <c r="J16" s="62"/>
      <c r="K16" s="47"/>
      <c r="L16" s="11">
        <v>283140</v>
      </c>
      <c r="M16" s="1" t="s">
        <v>130</v>
      </c>
      <c r="N16" s="140"/>
    </row>
    <row r="17" spans="2:14" ht="30" x14ac:dyDescent="0.25">
      <c r="B17" s="6" t="s">
        <v>16</v>
      </c>
      <c r="C17" s="12">
        <v>1699520159</v>
      </c>
      <c r="D17" s="4" t="s">
        <v>15</v>
      </c>
      <c r="E17" s="3">
        <v>42222</v>
      </c>
      <c r="F17" s="9"/>
      <c r="G17" s="38" t="s">
        <v>102</v>
      </c>
      <c r="H17" s="38"/>
      <c r="I17" s="101"/>
      <c r="J17" s="68"/>
      <c r="K17" s="50"/>
      <c r="L17" s="11">
        <v>9760</v>
      </c>
      <c r="M17" s="30" t="s">
        <v>130</v>
      </c>
      <c r="N17" s="140"/>
    </row>
    <row r="18" spans="2:14" ht="45" x14ac:dyDescent="0.25">
      <c r="B18" s="6" t="s">
        <v>19</v>
      </c>
      <c r="C18" s="12">
        <v>8146570018</v>
      </c>
      <c r="D18" s="4" t="s">
        <v>17</v>
      </c>
      <c r="E18" s="3">
        <v>42209</v>
      </c>
      <c r="F18" s="3">
        <v>44926</v>
      </c>
      <c r="G18" s="4" t="s">
        <v>490</v>
      </c>
      <c r="H18" s="4"/>
      <c r="I18" s="10"/>
      <c r="J18" s="62"/>
      <c r="K18" s="46"/>
      <c r="L18" s="11">
        <f>211565.08+70000+35000+35000+17500+52500+54000+54000+18000+18500+55500+18500+18500+19000+19000+19000+19000+19000+19000+19500+19500+19500+19500+19500+19500+20000+20000+20000+20000+20000+20000+20600+20600+20600+20600</f>
        <v>1091965.08</v>
      </c>
      <c r="M18" s="30" t="s">
        <v>129</v>
      </c>
      <c r="N18" s="140"/>
    </row>
    <row r="19" spans="2:14" ht="30" x14ac:dyDescent="0.25">
      <c r="B19" s="6" t="s">
        <v>773</v>
      </c>
      <c r="C19" s="21" t="s">
        <v>699</v>
      </c>
      <c r="D19" s="4" t="s">
        <v>20</v>
      </c>
      <c r="E19" s="20">
        <v>42594</v>
      </c>
      <c r="F19" s="3">
        <v>42958</v>
      </c>
      <c r="G19" s="77" t="s">
        <v>105</v>
      </c>
      <c r="H19" s="91"/>
      <c r="I19" s="102"/>
      <c r="J19" s="83"/>
      <c r="K19" s="45"/>
      <c r="L19" s="11">
        <f>80095.87+13938.22+89650.94+25065.6</f>
        <v>208750.63</v>
      </c>
      <c r="M19" s="1" t="s">
        <v>130</v>
      </c>
      <c r="N19" s="140"/>
    </row>
    <row r="20" spans="2:14" ht="60" x14ac:dyDescent="0.25">
      <c r="B20" s="6" t="s">
        <v>99</v>
      </c>
      <c r="C20" s="12">
        <v>3301630962</v>
      </c>
      <c r="D20" s="4" t="s">
        <v>100</v>
      </c>
      <c r="E20" s="3">
        <v>42795</v>
      </c>
      <c r="F20" s="3">
        <v>42855</v>
      </c>
      <c r="G20" s="4" t="s">
        <v>101</v>
      </c>
      <c r="H20" s="4"/>
      <c r="I20" s="40"/>
      <c r="J20" s="65"/>
      <c r="K20" s="46"/>
      <c r="L20" s="11">
        <f>48850.705+15666.08</f>
        <v>64516.785000000003</v>
      </c>
      <c r="M20" s="1" t="s">
        <v>130</v>
      </c>
      <c r="N20" s="140"/>
    </row>
    <row r="21" spans="2:14" ht="30" x14ac:dyDescent="0.25">
      <c r="B21" s="6" t="s">
        <v>56</v>
      </c>
      <c r="C21" s="12">
        <v>3470730288</v>
      </c>
      <c r="D21" s="4" t="s">
        <v>21</v>
      </c>
      <c r="E21" s="3">
        <v>42629</v>
      </c>
      <c r="F21" s="3">
        <v>43723</v>
      </c>
      <c r="G21" s="37" t="s">
        <v>104</v>
      </c>
      <c r="H21" s="37"/>
      <c r="I21" s="87"/>
      <c r="J21" s="62"/>
      <c r="K21" s="47"/>
      <c r="L21" s="11">
        <f>72590+6138.85+555+1192.5+2000+16000+480+1560+500+2000+384+730+1680+2000+250+2000+3840+5160+2000+16000+2000+1185+250+2000+6288.75+2000+250+2000+2000+500+3460.8+2000+399.75+2000</f>
        <v>163394.65</v>
      </c>
      <c r="M21" s="30" t="s">
        <v>130</v>
      </c>
      <c r="N21" s="140"/>
    </row>
    <row r="22" spans="2:14" ht="60" x14ac:dyDescent="0.25">
      <c r="B22" s="6" t="s">
        <v>695</v>
      </c>
      <c r="C22" s="12">
        <v>4794050585</v>
      </c>
      <c r="D22" s="4" t="s">
        <v>22</v>
      </c>
      <c r="E22" s="3">
        <v>42488</v>
      </c>
      <c r="F22" s="3">
        <v>42853</v>
      </c>
      <c r="G22" s="36" t="s">
        <v>103</v>
      </c>
      <c r="H22" s="37"/>
      <c r="I22" s="87"/>
      <c r="J22" s="37"/>
      <c r="K22" s="47"/>
      <c r="L22" s="11">
        <v>59224.55</v>
      </c>
      <c r="M22" s="1" t="s">
        <v>130</v>
      </c>
      <c r="N22" s="140"/>
    </row>
    <row r="23" spans="2:14" ht="90" x14ac:dyDescent="0.25">
      <c r="B23" s="6" t="s">
        <v>28</v>
      </c>
      <c r="C23" s="12">
        <v>9730271005</v>
      </c>
      <c r="D23" s="4" t="s">
        <v>23</v>
      </c>
      <c r="E23" s="3">
        <v>42209</v>
      </c>
      <c r="F23" s="10" t="s">
        <v>24</v>
      </c>
      <c r="G23" s="39" t="s">
        <v>218</v>
      </c>
      <c r="H23" s="109"/>
      <c r="I23" s="10"/>
      <c r="J23" s="69"/>
      <c r="K23" s="46"/>
      <c r="L23" s="11">
        <f>45958.4+57448+48807.82+11489.7+54180+22517.21+72136.3+68937.6+68937.6+68937.6+68937.6+24417.7+80427.2+59843.59+68937.6+31596.4+59527.62+78347.58+68937.6+68937.6</f>
        <v>1129260.72</v>
      </c>
      <c r="M23" s="30" t="s">
        <v>130</v>
      </c>
      <c r="N23" s="140"/>
    </row>
    <row r="24" spans="2:14" x14ac:dyDescent="0.25">
      <c r="B24" s="6" t="s">
        <v>27</v>
      </c>
      <c r="C24" s="12">
        <v>13366030156</v>
      </c>
      <c r="D24" s="4" t="s">
        <v>35</v>
      </c>
      <c r="E24" s="3">
        <v>43133</v>
      </c>
      <c r="F24" s="3">
        <v>43159</v>
      </c>
      <c r="G24" s="36" t="s">
        <v>25</v>
      </c>
      <c r="H24" s="36"/>
      <c r="I24" s="87"/>
      <c r="J24" s="67"/>
      <c r="K24" s="47"/>
      <c r="L24" s="11">
        <f>17226.39+8423.59+4579.56+4334.8+2795.24+4570.04+3810.4+4670.61+3805.48+3923.32+4111</f>
        <v>62250.430000000008</v>
      </c>
      <c r="M24" s="1" t="s">
        <v>130</v>
      </c>
      <c r="N24" s="140"/>
    </row>
    <row r="25" spans="2:14" ht="30" x14ac:dyDescent="0.25">
      <c r="B25" s="6" t="s">
        <v>27</v>
      </c>
      <c r="C25" s="12">
        <v>13366030156</v>
      </c>
      <c r="D25" s="4" t="s">
        <v>123</v>
      </c>
      <c r="E25" s="3">
        <v>42782</v>
      </c>
      <c r="F25" s="3">
        <v>43084</v>
      </c>
      <c r="G25" s="36" t="s">
        <v>34</v>
      </c>
      <c r="H25" s="36"/>
      <c r="I25" s="87"/>
      <c r="J25" s="67"/>
      <c r="K25" s="47"/>
      <c r="L25" s="11">
        <f>19433.05+11000.39+5348.97+4819.96+3870.18+4494.64+5373.32+1688.71</f>
        <v>56029.219999999994</v>
      </c>
      <c r="M25" s="1" t="s">
        <v>133</v>
      </c>
      <c r="N25" s="140"/>
    </row>
    <row r="26" spans="2:14" ht="30" x14ac:dyDescent="0.25">
      <c r="B26" s="6" t="s">
        <v>26</v>
      </c>
      <c r="C26" s="12">
        <v>830660155</v>
      </c>
      <c r="D26" s="4" t="s">
        <v>36</v>
      </c>
      <c r="E26" s="3">
        <v>43089</v>
      </c>
      <c r="F26" s="3">
        <v>43465</v>
      </c>
      <c r="G26" s="4" t="s">
        <v>29</v>
      </c>
      <c r="H26" s="4"/>
      <c r="I26" s="10"/>
      <c r="J26" s="65"/>
      <c r="K26" s="46"/>
      <c r="L26" s="46">
        <f>5819+5759</f>
        <v>11578</v>
      </c>
      <c r="M26" s="1" t="s">
        <v>130</v>
      </c>
      <c r="N26" s="140"/>
    </row>
    <row r="27" spans="2:14" ht="45" x14ac:dyDescent="0.25">
      <c r="B27" s="6" t="s">
        <v>32</v>
      </c>
      <c r="C27" s="12">
        <v>11274970158</v>
      </c>
      <c r="D27" s="4" t="s">
        <v>30</v>
      </c>
      <c r="E27" s="3">
        <v>43818</v>
      </c>
      <c r="F27" s="10" t="s">
        <v>302</v>
      </c>
      <c r="G27" s="4" t="s">
        <v>31</v>
      </c>
      <c r="H27" s="4"/>
      <c r="I27" s="40"/>
      <c r="J27" s="65"/>
      <c r="K27" s="48"/>
      <c r="L27" s="19"/>
      <c r="M27" s="30" t="s">
        <v>130</v>
      </c>
      <c r="N27" s="140"/>
    </row>
    <row r="28" spans="2:14" ht="30" x14ac:dyDescent="0.25">
      <c r="B28" s="6" t="s">
        <v>258</v>
      </c>
      <c r="C28" s="21" t="s">
        <v>254</v>
      </c>
      <c r="D28" s="4" t="s">
        <v>33</v>
      </c>
      <c r="E28" s="10">
        <v>42663</v>
      </c>
      <c r="F28" s="10" t="s">
        <v>58</v>
      </c>
      <c r="G28" s="31" t="s">
        <v>57</v>
      </c>
      <c r="H28" s="31"/>
      <c r="I28" s="31"/>
      <c r="J28" s="70"/>
      <c r="K28" s="45"/>
      <c r="L28" s="11">
        <f>3748.28+3092.04</f>
        <v>6840.32</v>
      </c>
      <c r="M28" s="30" t="s">
        <v>130</v>
      </c>
      <c r="N28" s="140"/>
    </row>
    <row r="29" spans="2:14" ht="30" x14ac:dyDescent="0.25">
      <c r="B29" s="6" t="s">
        <v>37</v>
      </c>
      <c r="C29" s="21" t="s">
        <v>72</v>
      </c>
      <c r="D29" s="4" t="s">
        <v>38</v>
      </c>
      <c r="E29" s="10">
        <v>42782</v>
      </c>
      <c r="F29" s="10" t="s">
        <v>39</v>
      </c>
      <c r="G29" s="40" t="s">
        <v>40</v>
      </c>
      <c r="H29" s="40"/>
      <c r="I29" s="40"/>
      <c r="J29" s="71"/>
      <c r="K29" s="46"/>
      <c r="L29" s="11"/>
      <c r="M29" s="30" t="s">
        <v>129</v>
      </c>
      <c r="N29" s="140"/>
    </row>
    <row r="30" spans="2:14" ht="30" x14ac:dyDescent="0.25">
      <c r="B30" s="6" t="s">
        <v>46</v>
      </c>
      <c r="C30" s="12">
        <v>97081660157</v>
      </c>
      <c r="D30" s="4" t="s">
        <v>45</v>
      </c>
      <c r="E30" s="10">
        <v>42338</v>
      </c>
      <c r="F30" s="10" t="s">
        <v>208</v>
      </c>
      <c r="G30" s="41" t="s">
        <v>59</v>
      </c>
      <c r="H30" s="41"/>
      <c r="I30" s="86"/>
      <c r="J30" s="72"/>
      <c r="K30" s="45"/>
      <c r="L30" s="11">
        <f>9871.02+1645.17+1348.5+1348.5+1348.5+1348.5+1348.5</f>
        <v>18258.690000000002</v>
      </c>
      <c r="M30" s="30" t="s">
        <v>130</v>
      </c>
      <c r="N30" s="140"/>
    </row>
    <row r="31" spans="2:14" ht="60" x14ac:dyDescent="0.25">
      <c r="B31" s="6" t="s">
        <v>47</v>
      </c>
      <c r="C31" s="21" t="s">
        <v>73</v>
      </c>
      <c r="D31" s="4" t="s">
        <v>48</v>
      </c>
      <c r="E31" s="26" t="s">
        <v>343</v>
      </c>
      <c r="F31" s="26" t="s">
        <v>313</v>
      </c>
      <c r="G31" s="110">
        <f>163981.4+163981.4</f>
        <v>327962.8</v>
      </c>
      <c r="H31" s="42"/>
      <c r="I31" s="86"/>
      <c r="J31" s="73"/>
      <c r="K31" s="45"/>
      <c r="L31" s="11">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+4293.73+1445.41+215.7</f>
        <v>331760.28000000003</v>
      </c>
      <c r="M31" s="30" t="s">
        <v>130</v>
      </c>
      <c r="N31" s="140"/>
    </row>
    <row r="32" spans="2:14" x14ac:dyDescent="0.25">
      <c r="B32" s="6" t="s">
        <v>50</v>
      </c>
      <c r="C32" s="12">
        <v>7739320963</v>
      </c>
      <c r="D32" s="4" t="s">
        <v>49</v>
      </c>
      <c r="E32" s="10">
        <v>42383</v>
      </c>
      <c r="F32" s="10">
        <v>43113</v>
      </c>
      <c r="G32" s="42" t="s">
        <v>60</v>
      </c>
      <c r="H32" s="42"/>
      <c r="I32" s="86"/>
      <c r="J32" s="73"/>
      <c r="K32" s="45"/>
      <c r="L32" s="11">
        <f>22999.95+3066.66+1533.33+1533.33+1533.33+1533.33+1533.33+1533.33</f>
        <v>35266.590000000011</v>
      </c>
      <c r="M32" s="1" t="s">
        <v>130</v>
      </c>
      <c r="N32" s="140"/>
    </row>
    <row r="33" spans="2:14" x14ac:dyDescent="0.25">
      <c r="B33" s="6" t="s">
        <v>61</v>
      </c>
      <c r="C33" s="21" t="s">
        <v>149</v>
      </c>
      <c r="D33" s="4" t="s">
        <v>63</v>
      </c>
      <c r="E33" s="10">
        <v>42129</v>
      </c>
      <c r="F33" s="10" t="s">
        <v>62</v>
      </c>
      <c r="G33" s="31" t="s">
        <v>64</v>
      </c>
      <c r="H33" s="31"/>
      <c r="I33" s="31"/>
      <c r="J33" s="70"/>
      <c r="K33" s="45"/>
      <c r="L33" s="11">
        <f>166496.65+393838.44+41839.49+49546.07</f>
        <v>651720.64999999991</v>
      </c>
      <c r="M33" s="1" t="s">
        <v>195</v>
      </c>
      <c r="N33" s="140"/>
    </row>
    <row r="34" spans="2:14" ht="30" x14ac:dyDescent="0.25">
      <c r="B34" s="6" t="s">
        <v>65</v>
      </c>
      <c r="C34" s="12">
        <v>10527000151</v>
      </c>
      <c r="D34" s="4" t="s">
        <v>66</v>
      </c>
      <c r="E34" s="10">
        <v>42272</v>
      </c>
      <c r="F34" s="10" t="s">
        <v>68</v>
      </c>
      <c r="G34" s="31" t="s">
        <v>67</v>
      </c>
      <c r="H34" s="31"/>
      <c r="I34" s="31"/>
      <c r="J34" s="70"/>
      <c r="K34" s="45"/>
      <c r="L34" s="11">
        <f>20015.13+6930</f>
        <v>26945.13</v>
      </c>
      <c r="M34" s="1" t="s">
        <v>130</v>
      </c>
      <c r="N34" s="140"/>
    </row>
    <row r="35" spans="2:14" ht="60" x14ac:dyDescent="0.25">
      <c r="B35" s="6" t="s">
        <v>337</v>
      </c>
      <c r="C35" s="21" t="s">
        <v>77</v>
      </c>
      <c r="D35" s="4" t="s">
        <v>80</v>
      </c>
      <c r="E35" s="10">
        <v>42795</v>
      </c>
      <c r="F35" s="10" t="s">
        <v>83</v>
      </c>
      <c r="G35" s="42">
        <f>14000+14000*15%+14000*4%</f>
        <v>16660</v>
      </c>
      <c r="H35" s="42"/>
      <c r="I35" s="86"/>
      <c r="J35" s="73"/>
      <c r="K35" s="45"/>
      <c r="L35" s="11">
        <f>13524+1449</f>
        <v>14973</v>
      </c>
      <c r="M35" s="1" t="s">
        <v>130</v>
      </c>
      <c r="N35" s="140"/>
    </row>
    <row r="36" spans="2:14" ht="90" x14ac:dyDescent="0.25">
      <c r="B36" s="6" t="s">
        <v>75</v>
      </c>
      <c r="C36" s="21" t="s">
        <v>78</v>
      </c>
      <c r="D36" s="4" t="s">
        <v>81</v>
      </c>
      <c r="E36" s="10">
        <v>42825</v>
      </c>
      <c r="F36" s="10" t="s">
        <v>84</v>
      </c>
      <c r="G36" s="80" t="s">
        <v>85</v>
      </c>
      <c r="H36" s="73"/>
      <c r="I36" s="103"/>
      <c r="J36" s="73"/>
      <c r="K36" s="45"/>
      <c r="L36" s="11">
        <f>1777.54+750+600+600+1000+750+449+400+750+355+750+750+250+775+62.5+750+750+120+50+750+100+525+750+700+750+661+750+661+1000</f>
        <v>18336.04</v>
      </c>
      <c r="M36" s="30" t="s">
        <v>129</v>
      </c>
      <c r="N36" s="140"/>
    </row>
    <row r="37" spans="2:14" ht="90" x14ac:dyDescent="0.25">
      <c r="B37" s="6" t="s">
        <v>76</v>
      </c>
      <c r="C37" s="13" t="s">
        <v>79</v>
      </c>
      <c r="D37" s="25" t="s">
        <v>82</v>
      </c>
      <c r="E37" s="26">
        <v>42851</v>
      </c>
      <c r="F37" s="10" t="s">
        <v>597</v>
      </c>
      <c r="G37" s="11" t="s">
        <v>462</v>
      </c>
      <c r="H37" s="30"/>
      <c r="I37" s="108"/>
      <c r="J37" s="62"/>
      <c r="K37" s="45"/>
      <c r="L37" s="11">
        <f>9109.74+10500+10500+10500+10500+10500+10500+10500+10500+10500+10500+10500+10500+10500+10500+12000+12000+12000+12000+4000</f>
        <v>208109.74</v>
      </c>
      <c r="M37" s="1" t="s">
        <v>130</v>
      </c>
      <c r="N37" s="140"/>
    </row>
    <row r="38" spans="2:14" ht="60" x14ac:dyDescent="0.25">
      <c r="B38" s="6" t="s">
        <v>86</v>
      </c>
      <c r="C38" s="21">
        <v>13325521006</v>
      </c>
      <c r="D38" s="4" t="s">
        <v>675</v>
      </c>
      <c r="E38" s="10">
        <v>42866</v>
      </c>
      <c r="F38" s="10" t="s">
        <v>87</v>
      </c>
      <c r="G38" s="80" t="s">
        <v>676</v>
      </c>
      <c r="H38" s="11"/>
      <c r="I38" s="104"/>
      <c r="J38" s="73"/>
      <c r="K38" s="45"/>
      <c r="L38" s="11">
        <f>25740+15444+18049.2</f>
        <v>59233.2</v>
      </c>
      <c r="M38" s="30" t="s">
        <v>677</v>
      </c>
      <c r="N38" s="140"/>
    </row>
    <row r="39" spans="2:14" ht="105" x14ac:dyDescent="0.25">
      <c r="B39" s="6" t="s">
        <v>70</v>
      </c>
      <c r="C39" s="12">
        <v>1742310152</v>
      </c>
      <c r="D39" s="4" t="s">
        <v>14</v>
      </c>
      <c r="E39" s="3">
        <v>42881</v>
      </c>
      <c r="F39" s="10" t="s">
        <v>180</v>
      </c>
      <c r="G39" s="76" t="s">
        <v>181</v>
      </c>
      <c r="H39" s="76"/>
      <c r="I39" s="40"/>
      <c r="J39" s="62"/>
      <c r="K39" s="45"/>
      <c r="L39" s="11">
        <f>915478.24+457739.12+228869.57+114434.78+114434.75</f>
        <v>1830956.46</v>
      </c>
      <c r="M39" s="1" t="s">
        <v>130</v>
      </c>
      <c r="N39" s="140"/>
    </row>
    <row r="40" spans="2:14" ht="45" x14ac:dyDescent="0.25">
      <c r="B40" s="6" t="s">
        <v>88</v>
      </c>
      <c r="C40" s="21">
        <v>10495590159</v>
      </c>
      <c r="D40" s="4" t="s">
        <v>89</v>
      </c>
      <c r="E40" s="10">
        <v>42914</v>
      </c>
      <c r="F40" s="10" t="s">
        <v>90</v>
      </c>
      <c r="G40" s="43">
        <v>240</v>
      </c>
      <c r="H40" s="43"/>
      <c r="I40" s="86"/>
      <c r="J40" s="74"/>
      <c r="K40" s="45">
        <v>243.36</v>
      </c>
      <c r="L40" s="11">
        <f>120+240+243.36+243.36+243.36+243.36</f>
        <v>1333.44</v>
      </c>
      <c r="M40" s="30" t="s">
        <v>129</v>
      </c>
      <c r="N40" s="140"/>
    </row>
    <row r="41" spans="2:14" ht="399.75" customHeight="1" x14ac:dyDescent="0.25">
      <c r="B41" s="6" t="s">
        <v>70</v>
      </c>
      <c r="C41" s="21" t="s">
        <v>91</v>
      </c>
      <c r="D41" s="4" t="s">
        <v>92</v>
      </c>
      <c r="E41" s="20">
        <v>42956</v>
      </c>
      <c r="F41" s="10" t="s">
        <v>865</v>
      </c>
      <c r="G41" s="125" t="s">
        <v>866</v>
      </c>
      <c r="H41" s="98" t="s">
        <v>1061</v>
      </c>
      <c r="I41" s="10" t="s">
        <v>1057</v>
      </c>
      <c r="J41" s="116" t="s">
        <v>1044</v>
      </c>
      <c r="K41" s="45">
        <f>65824.2+285238.2+65824.2+285238.2</f>
        <v>702124.8</v>
      </c>
      <c r="L41" s="11">
        <f>1077740.69+1849690.6+434572.12+390054.64+373612.75+460172.68+302538.86+44710.78+464541.04+354849.87+461059.65+418275.51+360759.48+372427.29+358557.82+422039.95+365599.71+415336.64+379391.3+499726.94+1644963.28-13384.43+276640+276640+197600+177840+158080+32912.1+54853.5+79040+351062.4+65824.2+65824.2+285238.2+65824.2+285238.2+65824.2+285238.2+65824.2+285238.2</f>
        <v>14511978.969999997</v>
      </c>
      <c r="M41" s="30" t="s">
        <v>129</v>
      </c>
      <c r="N41" s="140"/>
    </row>
    <row r="42" spans="2:14" ht="45" x14ac:dyDescent="0.25">
      <c r="B42" s="6" t="s">
        <v>110</v>
      </c>
      <c r="C42" s="13" t="s">
        <v>456</v>
      </c>
      <c r="D42" s="4" t="s">
        <v>111</v>
      </c>
      <c r="E42" s="10">
        <v>42923</v>
      </c>
      <c r="F42" s="10" t="s">
        <v>97</v>
      </c>
      <c r="G42" s="11" t="s">
        <v>216</v>
      </c>
      <c r="H42" s="11"/>
      <c r="I42" s="104"/>
      <c r="J42" s="73"/>
      <c r="K42" s="45"/>
      <c r="L42" s="11">
        <f>2575+2575+12800+2575+2575+2575+2575+2575+2575+2575+2575+2575+2575</f>
        <v>43700</v>
      </c>
      <c r="M42" s="30" t="s">
        <v>130</v>
      </c>
      <c r="N42" s="140"/>
    </row>
    <row r="43" spans="2:14" ht="30" x14ac:dyDescent="0.25">
      <c r="B43" s="6" t="s">
        <v>94</v>
      </c>
      <c r="C43" s="21" t="s">
        <v>95</v>
      </c>
      <c r="D43" s="4" t="s">
        <v>96</v>
      </c>
      <c r="E43" s="10">
        <v>42900</v>
      </c>
      <c r="F43" s="10" t="s">
        <v>97</v>
      </c>
      <c r="G43" s="75" t="s">
        <v>98</v>
      </c>
      <c r="H43" s="75"/>
      <c r="I43" s="87"/>
      <c r="J43" s="73"/>
      <c r="K43" s="24"/>
      <c r="L43" s="24">
        <f>3125+3125+3141+1041.67+3125+3125+3125+3125+3125+3125+3125+3125</f>
        <v>35432.67</v>
      </c>
      <c r="M43" s="30" t="s">
        <v>130</v>
      </c>
      <c r="N43" s="140"/>
    </row>
    <row r="44" spans="2:14" ht="30" x14ac:dyDescent="0.25">
      <c r="B44" s="6" t="s">
        <v>99</v>
      </c>
      <c r="C44" s="12">
        <v>3301630962</v>
      </c>
      <c r="D44" s="23" t="s">
        <v>100</v>
      </c>
      <c r="E44" s="10">
        <v>43005</v>
      </c>
      <c r="F44" s="10" t="s">
        <v>97</v>
      </c>
      <c r="G44" s="4" t="s">
        <v>112</v>
      </c>
      <c r="H44" s="4"/>
      <c r="I44" s="87"/>
      <c r="J44" s="62"/>
      <c r="K44" s="24"/>
      <c r="L44" s="11">
        <f>9832.14+9544.5+12144.24+12144.22+12144.24+12144.24+12144.24+12144.24+12144.24+15885.04+12144.24</f>
        <v>132415.58000000002</v>
      </c>
      <c r="M44" s="1" t="s">
        <v>130</v>
      </c>
      <c r="N44" s="140"/>
    </row>
    <row r="45" spans="2:14" x14ac:dyDescent="0.25">
      <c r="B45" s="6" t="s">
        <v>113</v>
      </c>
      <c r="C45" s="21" t="s">
        <v>114</v>
      </c>
      <c r="D45" s="4" t="s">
        <v>115</v>
      </c>
      <c r="E45" s="3">
        <v>43020</v>
      </c>
      <c r="F45" s="10" t="s">
        <v>116</v>
      </c>
      <c r="G45" s="4" t="s">
        <v>117</v>
      </c>
      <c r="H45" s="75"/>
      <c r="I45" s="87"/>
      <c r="J45" s="73"/>
      <c r="K45" s="24"/>
      <c r="L45" s="24">
        <f>335.33+495+495+495+495+495+495+495+495+495+495+495+495+495+495+495+495+495+495+495+495+495+495+495+495+495+495+495+495+495+10+495+495+495+495+225.92+495+495+58.03+495+495+10+495+495+58.03+575.41+4</f>
        <v>20581.719999999998</v>
      </c>
      <c r="M45" s="30" t="s">
        <v>130</v>
      </c>
      <c r="N45" s="140"/>
    </row>
    <row r="46" spans="2:14" ht="30" x14ac:dyDescent="0.25">
      <c r="B46" s="6" t="s">
        <v>110</v>
      </c>
      <c r="C46" s="13" t="s">
        <v>456</v>
      </c>
      <c r="D46" s="25" t="s">
        <v>118</v>
      </c>
      <c r="E46" s="29">
        <v>43013</v>
      </c>
      <c r="F46" s="26" t="s">
        <v>97</v>
      </c>
      <c r="G46" s="4" t="s">
        <v>119</v>
      </c>
      <c r="H46" s="90"/>
      <c r="I46" s="105"/>
      <c r="J46" s="62"/>
      <c r="K46" s="24"/>
      <c r="L46" s="57">
        <f>10000+6000+6000+6000+6000</f>
        <v>34000</v>
      </c>
      <c r="M46" s="30" t="s">
        <v>130</v>
      </c>
      <c r="N46" s="140"/>
    </row>
    <row r="47" spans="2:14" ht="42.75" customHeight="1" x14ac:dyDescent="0.25">
      <c r="B47" s="6" t="s">
        <v>120</v>
      </c>
      <c r="C47" s="21" t="s">
        <v>121</v>
      </c>
      <c r="D47" s="4" t="s">
        <v>1041</v>
      </c>
      <c r="E47" s="29">
        <v>43033</v>
      </c>
      <c r="F47" s="26" t="s">
        <v>122</v>
      </c>
      <c r="G47" s="126">
        <v>26400</v>
      </c>
      <c r="H47" s="75"/>
      <c r="I47" s="87"/>
      <c r="J47" s="73"/>
      <c r="K47" s="24">
        <f>439.99+439.99+439.99</f>
        <v>1319.97</v>
      </c>
      <c r="L47" s="24">
        <f>482.58+440+440+440+20+440+440+440+440+440+440+440+440+440+440+440+440+440+440+400+440+440+440+440+440+440+440+440+440+440+440+440+440+440+440+440+440+440+440+440+440+440+440+440+440+440+440+440+440+440+440+440+440+440+440+440+440+440+440+440+440+440+240.68+440+440+99.65+439.99+439.99+439.99+439.99+439.99+439.99+439.99+439.99+439.99+439.99+439.99+439.99+439.99+439.99+439.99+439.99+439.99+439.99</f>
        <v>36002.730000000003</v>
      </c>
      <c r="M47" s="30" t="s">
        <v>129</v>
      </c>
      <c r="N47" s="140"/>
    </row>
    <row r="48" spans="2:14" ht="75" x14ac:dyDescent="0.25">
      <c r="B48" s="6" t="s">
        <v>124</v>
      </c>
      <c r="C48" s="21" t="s">
        <v>125</v>
      </c>
      <c r="D48" s="4" t="s">
        <v>126</v>
      </c>
      <c r="E48" s="29">
        <v>43047</v>
      </c>
      <c r="F48" s="10" t="s">
        <v>127</v>
      </c>
      <c r="G48" s="4" t="s">
        <v>128</v>
      </c>
      <c r="H48" s="28"/>
      <c r="I48" s="106"/>
      <c r="J48" s="73"/>
      <c r="K48" s="24"/>
      <c r="L48" s="24">
        <v>5040</v>
      </c>
      <c r="M48" s="1" t="s">
        <v>130</v>
      </c>
      <c r="N48" s="140"/>
    </row>
    <row r="49" spans="2:14" ht="30" x14ac:dyDescent="0.25">
      <c r="B49" s="6" t="s">
        <v>773</v>
      </c>
      <c r="C49" s="21" t="s">
        <v>699</v>
      </c>
      <c r="D49" s="25" t="s">
        <v>20</v>
      </c>
      <c r="E49" s="27">
        <v>43011</v>
      </c>
      <c r="F49" s="29">
        <v>43151</v>
      </c>
      <c r="G49" s="4" t="s">
        <v>131</v>
      </c>
      <c r="H49" s="75"/>
      <c r="I49" s="87"/>
      <c r="J49" s="73"/>
      <c r="K49" s="24"/>
      <c r="L49" s="11">
        <f>20448.29+13632.19</f>
        <v>34080.480000000003</v>
      </c>
      <c r="M49" s="1" t="s">
        <v>130</v>
      </c>
      <c r="N49" s="140"/>
    </row>
    <row r="50" spans="2:14" ht="30" x14ac:dyDescent="0.25">
      <c r="B50" s="6" t="s">
        <v>99</v>
      </c>
      <c r="C50" s="12">
        <v>3301630962</v>
      </c>
      <c r="D50" s="23" t="s">
        <v>139</v>
      </c>
      <c r="E50" s="10">
        <v>43056</v>
      </c>
      <c r="F50" s="10"/>
      <c r="G50" s="4" t="s">
        <v>159</v>
      </c>
      <c r="H50" s="75"/>
      <c r="I50" s="87"/>
      <c r="J50" s="73"/>
      <c r="K50" s="24"/>
      <c r="L50" s="24">
        <f>6720+2520</f>
        <v>9240</v>
      </c>
      <c r="M50" s="1" t="s">
        <v>130</v>
      </c>
      <c r="N50" s="140"/>
    </row>
    <row r="51" spans="2:14" ht="30" x14ac:dyDescent="0.25">
      <c r="B51" s="6" t="s">
        <v>134</v>
      </c>
      <c r="C51" s="85" t="s">
        <v>135</v>
      </c>
      <c r="D51" s="4" t="s">
        <v>136</v>
      </c>
      <c r="E51" s="81">
        <v>43066</v>
      </c>
      <c r="F51" s="115" t="s">
        <v>344</v>
      </c>
      <c r="G51" s="109" t="s">
        <v>319</v>
      </c>
      <c r="H51" s="4"/>
      <c r="I51" s="10"/>
      <c r="J51" s="62"/>
      <c r="K51" s="24"/>
      <c r="L51" s="24">
        <f>9660.2+9660.2+14490.3+14490.3+9660.2+9660.2+9660.2+14490+14490+9611.9</f>
        <v>115873.49999999999</v>
      </c>
      <c r="M51" s="30" t="s">
        <v>130</v>
      </c>
      <c r="N51" s="140"/>
    </row>
    <row r="52" spans="2:14" ht="135" x14ac:dyDescent="0.25">
      <c r="B52" s="6" t="s">
        <v>140</v>
      </c>
      <c r="C52" s="21" t="s">
        <v>141</v>
      </c>
      <c r="D52" s="4" t="s">
        <v>49</v>
      </c>
      <c r="E52" s="10" t="s">
        <v>202</v>
      </c>
      <c r="F52" s="10" t="s">
        <v>203</v>
      </c>
      <c r="G52" s="55" t="s">
        <v>213</v>
      </c>
      <c r="H52" s="55"/>
      <c r="I52" s="100"/>
      <c r="J52" s="73"/>
      <c r="K52" s="24"/>
      <c r="L52" s="24">
        <f>557.6+1533.33+1533.33+1533.33+1533.33+1533.33+1533.33+1000+2750+3300+3300</f>
        <v>20107.580000000002</v>
      </c>
      <c r="M52" s="1" t="s">
        <v>130</v>
      </c>
      <c r="N52" s="140"/>
    </row>
    <row r="53" spans="2:14" ht="45" x14ac:dyDescent="0.25">
      <c r="B53" s="6" t="s">
        <v>142</v>
      </c>
      <c r="C53" s="21" t="s">
        <v>143</v>
      </c>
      <c r="D53" s="4" t="s">
        <v>144</v>
      </c>
      <c r="E53" s="27">
        <v>43118</v>
      </c>
      <c r="F53" s="10" t="s">
        <v>145</v>
      </c>
      <c r="G53" s="79" t="s">
        <v>146</v>
      </c>
      <c r="H53" s="55"/>
      <c r="I53" s="100"/>
      <c r="J53" s="73"/>
      <c r="K53" s="24"/>
      <c r="L53" s="24">
        <f>12579+4200+16005.28+16005.28+16005.28+16005.28+16005.28+16005.28+16005.28</f>
        <v>128815.95999999999</v>
      </c>
      <c r="M53" s="30" t="s">
        <v>130</v>
      </c>
      <c r="N53" s="140"/>
    </row>
    <row r="54" spans="2:14" ht="30" x14ac:dyDescent="0.25">
      <c r="B54" s="6" t="s">
        <v>61</v>
      </c>
      <c r="C54" s="21" t="s">
        <v>149</v>
      </c>
      <c r="D54" s="4" t="s">
        <v>148</v>
      </c>
      <c r="E54" s="10">
        <v>43140</v>
      </c>
      <c r="F54" s="10" t="s">
        <v>62</v>
      </c>
      <c r="G54" s="31" t="s">
        <v>147</v>
      </c>
      <c r="H54" s="31"/>
      <c r="I54" s="31"/>
      <c r="J54" s="73"/>
      <c r="K54" s="45"/>
      <c r="L54" s="11">
        <f>10424.57+8215.37+7979.24+7779.24+7784.94+7783.33+7779.24+7779.24+7779.24+7779.24+7779.24+7779.24+7779.24+7779.24+7779.24</f>
        <v>119979.85000000003</v>
      </c>
      <c r="M54" s="30" t="s">
        <v>130</v>
      </c>
      <c r="N54" s="140"/>
    </row>
    <row r="55" spans="2:14" ht="30" x14ac:dyDescent="0.25">
      <c r="B55" s="6" t="s">
        <v>192</v>
      </c>
      <c r="C55" s="21" t="s">
        <v>152</v>
      </c>
      <c r="D55" s="4" t="s">
        <v>153</v>
      </c>
      <c r="E55" s="10">
        <v>43144</v>
      </c>
      <c r="F55" s="10" t="s">
        <v>154</v>
      </c>
      <c r="G55" s="32">
        <v>27000</v>
      </c>
      <c r="H55" s="32"/>
      <c r="I55" s="102"/>
      <c r="J55" s="73"/>
      <c r="K55" s="45"/>
      <c r="L55" s="11">
        <f>18900+8100</f>
        <v>27000</v>
      </c>
      <c r="M55" s="1" t="s">
        <v>130</v>
      </c>
      <c r="N55" s="140"/>
    </row>
    <row r="56" spans="2:14" ht="60" x14ac:dyDescent="0.25">
      <c r="B56" s="6" t="s">
        <v>155</v>
      </c>
      <c r="C56" s="21">
        <v>7931520964</v>
      </c>
      <c r="D56" s="4" t="s">
        <v>156</v>
      </c>
      <c r="E56" s="10">
        <v>43069</v>
      </c>
      <c r="F56" s="10" t="s">
        <v>157</v>
      </c>
      <c r="G56" s="33" t="s">
        <v>158</v>
      </c>
      <c r="H56" s="33"/>
      <c r="I56" s="104"/>
      <c r="J56" s="73"/>
      <c r="K56" s="45"/>
      <c r="L56" s="11">
        <v>56095.5</v>
      </c>
      <c r="M56" s="1" t="s">
        <v>130</v>
      </c>
      <c r="N56" s="140"/>
    </row>
    <row r="57" spans="2:14" ht="30" x14ac:dyDescent="0.25">
      <c r="B57" s="6" t="s">
        <v>160</v>
      </c>
      <c r="C57" s="21" t="s">
        <v>161</v>
      </c>
      <c r="D57" s="4" t="s">
        <v>162</v>
      </c>
      <c r="E57" s="10">
        <v>43083</v>
      </c>
      <c r="F57" s="10" t="s">
        <v>163</v>
      </c>
      <c r="G57" s="11" t="s">
        <v>164</v>
      </c>
      <c r="H57" s="11"/>
      <c r="I57" s="104"/>
      <c r="J57" s="73"/>
      <c r="K57" s="45"/>
      <c r="L57" s="11">
        <v>3200</v>
      </c>
      <c r="M57" s="1" t="s">
        <v>130</v>
      </c>
      <c r="N57" s="140"/>
    </row>
    <row r="58" spans="2:14" ht="45" x14ac:dyDescent="0.25">
      <c r="B58" s="6" t="s">
        <v>240</v>
      </c>
      <c r="C58" s="21" t="s">
        <v>168</v>
      </c>
      <c r="D58" s="4" t="s">
        <v>165</v>
      </c>
      <c r="E58" s="10">
        <v>43090</v>
      </c>
      <c r="F58" s="10" t="s">
        <v>166</v>
      </c>
      <c r="G58" s="11" t="s">
        <v>167</v>
      </c>
      <c r="H58" s="11"/>
      <c r="I58" s="104"/>
      <c r="J58" s="73"/>
      <c r="K58" s="45"/>
      <c r="L58" s="11">
        <v>9660</v>
      </c>
      <c r="M58" s="1" t="s">
        <v>130</v>
      </c>
      <c r="N58" s="140"/>
    </row>
    <row r="59" spans="2:14" ht="150" x14ac:dyDescent="0.25">
      <c r="B59" s="6" t="s">
        <v>169</v>
      </c>
      <c r="C59" s="21">
        <v>12883390150</v>
      </c>
      <c r="D59" s="4" t="s">
        <v>345</v>
      </c>
      <c r="E59" s="40" t="s">
        <v>346</v>
      </c>
      <c r="F59" s="10" t="s">
        <v>170</v>
      </c>
      <c r="G59" s="11">
        <f>342000+15000+12000</f>
        <v>369000</v>
      </c>
      <c r="H59" s="34"/>
      <c r="I59" s="99"/>
      <c r="J59" s="73"/>
      <c r="K59" s="45"/>
      <c r="L59" s="51">
        <f>15000+29700+45000+12000+59400+59400+148500</f>
        <v>369000</v>
      </c>
      <c r="M59" s="30" t="s">
        <v>130</v>
      </c>
      <c r="N59" s="140"/>
    </row>
    <row r="60" spans="2:14" ht="45" x14ac:dyDescent="0.25">
      <c r="B60" s="6" t="s">
        <v>171</v>
      </c>
      <c r="C60" s="21" t="s">
        <v>172</v>
      </c>
      <c r="D60" s="4" t="s">
        <v>173</v>
      </c>
      <c r="E60" s="10">
        <v>43202</v>
      </c>
      <c r="F60" s="10" t="s">
        <v>174</v>
      </c>
      <c r="G60" s="34" t="s">
        <v>175</v>
      </c>
      <c r="H60" s="34"/>
      <c r="I60" s="99"/>
      <c r="J60" s="73"/>
      <c r="K60" s="45"/>
      <c r="L60" s="11">
        <f>4420+4420</f>
        <v>8840</v>
      </c>
      <c r="M60" s="1" t="s">
        <v>130</v>
      </c>
      <c r="N60" s="140"/>
    </row>
    <row r="61" spans="2:14" ht="30" x14ac:dyDescent="0.25">
      <c r="B61" s="6" t="s">
        <v>773</v>
      </c>
      <c r="C61" s="21" t="s">
        <v>699</v>
      </c>
      <c r="D61" s="25" t="s">
        <v>20</v>
      </c>
      <c r="E61" s="27">
        <v>43223</v>
      </c>
      <c r="F61" s="3" t="s">
        <v>176</v>
      </c>
      <c r="G61" s="61" t="s">
        <v>177</v>
      </c>
      <c r="H61" s="61"/>
      <c r="I61" s="93"/>
      <c r="J61" s="73"/>
      <c r="K61" s="45"/>
      <c r="L61" s="57">
        <f>48679.56+19706.53+6412.8+9519.4</f>
        <v>84318.29</v>
      </c>
      <c r="M61" s="1" t="s">
        <v>130</v>
      </c>
      <c r="N61" s="140"/>
    </row>
    <row r="62" spans="2:14" ht="105" x14ac:dyDescent="0.25">
      <c r="B62" s="6" t="s">
        <v>110</v>
      </c>
      <c r="C62" s="13" t="s">
        <v>456</v>
      </c>
      <c r="D62" s="4" t="s">
        <v>178</v>
      </c>
      <c r="E62" s="26">
        <v>43257</v>
      </c>
      <c r="F62" s="10" t="s">
        <v>179</v>
      </c>
      <c r="G62" s="60" t="s">
        <v>217</v>
      </c>
      <c r="H62" s="60"/>
      <c r="I62" s="104"/>
      <c r="J62" s="73"/>
      <c r="K62" s="45"/>
      <c r="L62" s="57">
        <f>5000+15000+5000+5000+15000</f>
        <v>45000</v>
      </c>
      <c r="M62" s="30" t="s">
        <v>130</v>
      </c>
      <c r="N62" s="140"/>
    </row>
    <row r="63" spans="2:14" ht="30" x14ac:dyDescent="0.25">
      <c r="B63" s="6" t="s">
        <v>192</v>
      </c>
      <c r="C63" s="21" t="s">
        <v>152</v>
      </c>
      <c r="D63" s="4" t="s">
        <v>183</v>
      </c>
      <c r="E63" s="10">
        <v>43257</v>
      </c>
      <c r="F63" s="10" t="s">
        <v>184</v>
      </c>
      <c r="G63" s="32">
        <v>13000</v>
      </c>
      <c r="H63" s="32"/>
      <c r="I63" s="102"/>
      <c r="J63" s="73"/>
      <c r="K63" s="45"/>
      <c r="L63" s="11">
        <f>5200+7800</f>
        <v>13000</v>
      </c>
      <c r="M63" s="1" t="s">
        <v>130</v>
      </c>
      <c r="N63" s="140"/>
    </row>
    <row r="64" spans="2:14" ht="90" x14ac:dyDescent="0.25">
      <c r="B64" s="187" t="s">
        <v>421</v>
      </c>
      <c r="C64" s="21" t="s">
        <v>185</v>
      </c>
      <c r="D64" s="4" t="s">
        <v>186</v>
      </c>
      <c r="E64" s="29">
        <v>43283</v>
      </c>
      <c r="F64" s="10" t="s">
        <v>187</v>
      </c>
      <c r="G64" s="76" t="s">
        <v>188</v>
      </c>
      <c r="H64" s="76"/>
      <c r="I64" s="10"/>
      <c r="J64" s="73"/>
      <c r="K64" s="51"/>
      <c r="L64" s="51">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+2839.34+12021.13+2467.83+11677.74+1121.75+12021.13+2467.83+2839.34+146.48+30.07+34.6+142.53+29.26+33.66+142.53+29.26+33.66+137.05+28.13+32.37+120577.81+24753.54+28479.88+12021.13+2467.83+2839.34+12021.13+2467.83+2839.34+21379.04+4388.92+5049.63</f>
        <v>3114631.1300000008</v>
      </c>
      <c r="M64" s="30" t="s">
        <v>130</v>
      </c>
      <c r="N64" s="140"/>
    </row>
    <row r="65" spans="2:14" ht="60" x14ac:dyDescent="0.25">
      <c r="B65" s="6" t="s">
        <v>189</v>
      </c>
      <c r="C65" s="21" t="s">
        <v>190</v>
      </c>
      <c r="D65" s="4" t="s">
        <v>191</v>
      </c>
      <c r="E65" s="29">
        <v>43276</v>
      </c>
      <c r="F65" s="10" t="s">
        <v>214</v>
      </c>
      <c r="G65" s="76">
        <f>138149.13+11800</f>
        <v>149949.13</v>
      </c>
      <c r="H65" s="76"/>
      <c r="I65" s="40"/>
      <c r="J65" s="73"/>
      <c r="K65" s="45"/>
      <c r="L65" s="11">
        <f>27491.68+110657.45+11800</f>
        <v>149949.13</v>
      </c>
      <c r="M65" s="1" t="s">
        <v>130</v>
      </c>
      <c r="N65" s="140"/>
    </row>
    <row r="66" spans="2:14" ht="30" x14ac:dyDescent="0.25">
      <c r="B66" s="6" t="s">
        <v>99</v>
      </c>
      <c r="C66" s="12">
        <v>3301630962</v>
      </c>
      <c r="D66" s="53" t="s">
        <v>193</v>
      </c>
      <c r="E66" s="26">
        <v>43312</v>
      </c>
      <c r="F66" s="54"/>
      <c r="G66" s="42" t="s">
        <v>194</v>
      </c>
      <c r="H66" s="42"/>
      <c r="I66" s="86"/>
      <c r="J66" s="73"/>
      <c r="K66" s="45"/>
      <c r="L66" s="11">
        <v>3206.4</v>
      </c>
      <c r="M66" s="1" t="s">
        <v>130</v>
      </c>
      <c r="N66" s="140"/>
    </row>
    <row r="67" spans="2:14" ht="30" x14ac:dyDescent="0.25">
      <c r="B67" s="6" t="s">
        <v>196</v>
      </c>
      <c r="C67" s="21" t="s">
        <v>197</v>
      </c>
      <c r="D67" s="23" t="s">
        <v>198</v>
      </c>
      <c r="E67" s="26">
        <v>43369</v>
      </c>
      <c r="F67" s="56" t="s">
        <v>200</v>
      </c>
      <c r="G67" s="11" t="s">
        <v>199</v>
      </c>
      <c r="H67" s="11"/>
      <c r="I67" s="104"/>
      <c r="J67" s="73"/>
      <c r="K67" s="45"/>
      <c r="L67" s="11">
        <f>8400+8400+7500+7500+7500</f>
        <v>39300</v>
      </c>
      <c r="M67" s="30" t="s">
        <v>130</v>
      </c>
      <c r="N67" s="140"/>
    </row>
    <row r="68" spans="2:14" ht="45" x14ac:dyDescent="0.25">
      <c r="B68" s="6" t="s">
        <v>259</v>
      </c>
      <c r="C68" s="21" t="s">
        <v>210</v>
      </c>
      <c r="D68" s="4" t="s">
        <v>209</v>
      </c>
      <c r="E68" s="10">
        <v>43347</v>
      </c>
      <c r="F68" s="10" t="s">
        <v>212</v>
      </c>
      <c r="G68" s="59" t="s">
        <v>211</v>
      </c>
      <c r="H68" s="59"/>
      <c r="I68" s="104"/>
      <c r="J68" s="45"/>
      <c r="K68" s="45"/>
      <c r="L68" s="11">
        <f>26.38+130.09+535.33+660+660+660+660+130.09+660+660+660+660+130.09+660+660+660+660</f>
        <v>8871.98</v>
      </c>
      <c r="M68" s="30" t="s">
        <v>130</v>
      </c>
      <c r="N68" s="140"/>
    </row>
    <row r="69" spans="2:14" ht="45" x14ac:dyDescent="0.25">
      <c r="B69" s="6" t="s">
        <v>201</v>
      </c>
      <c r="C69" s="21">
        <v>10157530964</v>
      </c>
      <c r="D69" s="4" t="s">
        <v>49</v>
      </c>
      <c r="E69" s="10" t="s">
        <v>288</v>
      </c>
      <c r="F69" s="40" t="s">
        <v>296</v>
      </c>
      <c r="G69" s="55">
        <f>19400+1616+808</f>
        <v>21824</v>
      </c>
      <c r="H69" s="55"/>
      <c r="I69" s="100"/>
      <c r="J69" s="73"/>
      <c r="K69" s="45"/>
      <c r="L69" s="24">
        <f>1617+1617+1617+1617+1617+1617+1617+1617+3234+3234+1617+888</f>
        <v>21909</v>
      </c>
      <c r="M69" s="1" t="s">
        <v>130</v>
      </c>
      <c r="N69" s="140"/>
    </row>
    <row r="70" spans="2:14" ht="30" x14ac:dyDescent="0.25">
      <c r="B70" s="6" t="s">
        <v>204</v>
      </c>
      <c r="C70" s="12">
        <v>1850570746</v>
      </c>
      <c r="D70" s="4" t="s">
        <v>205</v>
      </c>
      <c r="E70" s="26">
        <v>43424</v>
      </c>
      <c r="F70" s="10" t="s">
        <v>206</v>
      </c>
      <c r="G70" s="58" t="s">
        <v>207</v>
      </c>
      <c r="H70" s="58"/>
      <c r="I70" s="107"/>
      <c r="J70" s="73"/>
      <c r="K70" s="45"/>
      <c r="L70" s="24">
        <f>8000+8000+8000</f>
        <v>24000</v>
      </c>
      <c r="M70" s="1" t="s">
        <v>130</v>
      </c>
      <c r="N70" s="140"/>
    </row>
    <row r="71" spans="2:14" ht="30" x14ac:dyDescent="0.25">
      <c r="B71" s="6" t="s">
        <v>26</v>
      </c>
      <c r="C71" s="12">
        <v>830660155</v>
      </c>
      <c r="D71" s="4" t="s">
        <v>36</v>
      </c>
      <c r="E71" s="3">
        <v>43447</v>
      </c>
      <c r="F71" s="3" t="s">
        <v>215</v>
      </c>
      <c r="G71" s="4" t="s">
        <v>29</v>
      </c>
      <c r="H71" s="4"/>
      <c r="I71" s="40"/>
      <c r="J71" s="73"/>
      <c r="K71" s="45"/>
      <c r="L71" s="11">
        <f>5819+5759</f>
        <v>11578</v>
      </c>
      <c r="M71" s="30" t="s">
        <v>130</v>
      </c>
      <c r="N71" s="140"/>
    </row>
    <row r="72" spans="2:14" x14ac:dyDescent="0.25">
      <c r="B72" s="6" t="s">
        <v>219</v>
      </c>
      <c r="C72" s="21" t="s">
        <v>511</v>
      </c>
      <c r="D72" s="4" t="s">
        <v>220</v>
      </c>
      <c r="E72" s="26">
        <v>43474</v>
      </c>
      <c r="F72" s="40" t="s">
        <v>221</v>
      </c>
      <c r="G72" s="58" t="s">
        <v>222</v>
      </c>
      <c r="H72" s="58"/>
      <c r="I72" s="40"/>
      <c r="J72" s="73"/>
      <c r="K72" s="45"/>
      <c r="L72" s="11">
        <v>28000</v>
      </c>
      <c r="M72" s="1" t="s">
        <v>130</v>
      </c>
      <c r="N72" s="140"/>
    </row>
    <row r="73" spans="2:14" ht="75" x14ac:dyDescent="0.25">
      <c r="B73" s="6" t="s">
        <v>223</v>
      </c>
      <c r="C73" s="21" t="s">
        <v>224</v>
      </c>
      <c r="D73" s="4" t="s">
        <v>126</v>
      </c>
      <c r="E73" s="26">
        <v>43432</v>
      </c>
      <c r="F73" s="40" t="s">
        <v>225</v>
      </c>
      <c r="G73" s="32" t="s">
        <v>242</v>
      </c>
      <c r="H73" s="32"/>
      <c r="I73" s="102"/>
      <c r="J73" s="73"/>
      <c r="K73" s="45"/>
      <c r="L73" s="11">
        <v>8344.66</v>
      </c>
      <c r="M73" s="1" t="s">
        <v>130</v>
      </c>
      <c r="N73" s="140"/>
    </row>
    <row r="74" spans="2:14" ht="30" x14ac:dyDescent="0.25">
      <c r="B74" s="6" t="s">
        <v>240</v>
      </c>
      <c r="C74" s="21" t="s">
        <v>226</v>
      </c>
      <c r="D74" s="4" t="s">
        <v>227</v>
      </c>
      <c r="E74" s="26">
        <v>43440</v>
      </c>
      <c r="F74" s="40" t="s">
        <v>228</v>
      </c>
      <c r="G74" s="58" t="s">
        <v>229</v>
      </c>
      <c r="H74" s="58"/>
      <c r="I74" s="107"/>
      <c r="J74" s="73"/>
      <c r="K74" s="45"/>
      <c r="L74" s="11">
        <v>5290.56</v>
      </c>
      <c r="M74" s="1" t="s">
        <v>130</v>
      </c>
      <c r="N74" s="140"/>
    </row>
    <row r="75" spans="2:14" ht="30" x14ac:dyDescent="0.25">
      <c r="B75" s="6" t="s">
        <v>192</v>
      </c>
      <c r="C75" s="21" t="s">
        <v>152</v>
      </c>
      <c r="D75" s="4" t="s">
        <v>230</v>
      </c>
      <c r="E75" s="10">
        <v>43480</v>
      </c>
      <c r="F75" s="10" t="s">
        <v>243</v>
      </c>
      <c r="G75" s="32">
        <v>20000</v>
      </c>
      <c r="H75" s="32"/>
      <c r="I75" s="102"/>
      <c r="J75" s="73"/>
      <c r="K75" s="45"/>
      <c r="L75" s="11">
        <f>10000+10000</f>
        <v>20000</v>
      </c>
      <c r="M75" s="30" t="s">
        <v>130</v>
      </c>
      <c r="N75" s="140"/>
    </row>
    <row r="76" spans="2:14" ht="30" x14ac:dyDescent="0.25">
      <c r="B76" s="6" t="s">
        <v>192</v>
      </c>
      <c r="C76" s="21" t="s">
        <v>152</v>
      </c>
      <c r="D76" s="4" t="s">
        <v>241</v>
      </c>
      <c r="E76" s="10">
        <v>43505</v>
      </c>
      <c r="F76" s="10" t="s">
        <v>244</v>
      </c>
      <c r="G76" s="32">
        <v>20000</v>
      </c>
      <c r="H76" s="32"/>
      <c r="I76" s="102"/>
      <c r="J76" s="73"/>
      <c r="K76" s="45"/>
      <c r="L76" s="11">
        <f>5000+5000+5000+5000</f>
        <v>20000</v>
      </c>
      <c r="M76" s="30" t="s">
        <v>130</v>
      </c>
      <c r="N76" s="140"/>
    </row>
    <row r="77" spans="2:14" ht="302.25" x14ac:dyDescent="0.25">
      <c r="B77" s="6" t="s">
        <v>7</v>
      </c>
      <c r="C77" s="12">
        <v>3049560166</v>
      </c>
      <c r="D77" s="5" t="s">
        <v>231</v>
      </c>
      <c r="E77" s="10" t="s">
        <v>505</v>
      </c>
      <c r="F77" s="4" t="s">
        <v>506</v>
      </c>
      <c r="G77" s="5" t="s">
        <v>504</v>
      </c>
      <c r="H77" s="61"/>
      <c r="I77" s="93"/>
      <c r="J77" s="73"/>
      <c r="K77" s="45"/>
      <c r="L77" s="11">
        <f>8800+7400+1400+3000+1000+13200+12800+8800+4400</f>
        <v>60800</v>
      </c>
      <c r="M77" s="30" t="s">
        <v>130</v>
      </c>
      <c r="N77" s="140"/>
    </row>
    <row r="78" spans="2:14" ht="30" x14ac:dyDescent="0.25">
      <c r="B78" s="6" t="s">
        <v>232</v>
      </c>
      <c r="C78" s="12" t="s">
        <v>233</v>
      </c>
      <c r="D78" s="5" t="s">
        <v>234</v>
      </c>
      <c r="E78" s="20">
        <v>43502</v>
      </c>
      <c r="F78" s="4" t="s">
        <v>235</v>
      </c>
      <c r="G78" s="78">
        <v>937.5</v>
      </c>
      <c r="H78" s="33"/>
      <c r="I78" s="104"/>
      <c r="J78" s="73"/>
      <c r="K78" s="45"/>
      <c r="L78" s="11">
        <v>750</v>
      </c>
      <c r="M78" s="1" t="s">
        <v>130</v>
      </c>
      <c r="N78" s="140"/>
    </row>
    <row r="79" spans="2:14" ht="90" x14ac:dyDescent="0.25">
      <c r="B79" s="6" t="s">
        <v>236</v>
      </c>
      <c r="C79" s="12">
        <v>12735620150</v>
      </c>
      <c r="D79" s="5" t="s">
        <v>237</v>
      </c>
      <c r="E79" s="3">
        <v>43522</v>
      </c>
      <c r="F79" s="4" t="s">
        <v>238</v>
      </c>
      <c r="G79" s="5" t="s">
        <v>239</v>
      </c>
      <c r="H79" s="33"/>
      <c r="I79" s="104"/>
      <c r="J79" s="73"/>
      <c r="K79" s="45"/>
      <c r="L79" s="11">
        <v>2312.84</v>
      </c>
      <c r="M79" s="1" t="s">
        <v>130</v>
      </c>
      <c r="N79" s="140"/>
    </row>
    <row r="80" spans="2:14" ht="60" x14ac:dyDescent="0.25">
      <c r="B80" s="6" t="s">
        <v>155</v>
      </c>
      <c r="C80" s="21">
        <v>7931520964</v>
      </c>
      <c r="D80" s="4" t="s">
        <v>156</v>
      </c>
      <c r="E80" s="10" t="s">
        <v>245</v>
      </c>
      <c r="F80" s="10" t="s">
        <v>246</v>
      </c>
      <c r="G80" s="33" t="s">
        <v>158</v>
      </c>
      <c r="H80" s="33"/>
      <c r="I80" s="104"/>
      <c r="J80" s="73"/>
      <c r="K80" s="45"/>
      <c r="L80" s="51">
        <f>2391.5+1906+2122+1909+2360+2633+1866+1850+1942.5+2051+1328.5+1270+1287.5+1322+1330+1297+1322+1320.5+1336.5+1259+1306+1339.5+1316+1258.5+1335+1311+991.12+668.66+1180+1180+1251+1219.5+1322+1276+1180+1180+1352+1454.5+1424+1424+1453+1459.5+1504+1347.5+1548+1473+1617+1440</f>
        <v>70914.78</v>
      </c>
      <c r="M80" s="1" t="s">
        <v>130</v>
      </c>
      <c r="N80" s="140"/>
    </row>
    <row r="81" spans="2:14" ht="45" x14ac:dyDescent="0.25">
      <c r="B81" s="6" t="s">
        <v>247</v>
      </c>
      <c r="C81" s="12" t="s">
        <v>248</v>
      </c>
      <c r="D81" s="5" t="s">
        <v>249</v>
      </c>
      <c r="E81" s="20">
        <v>43571</v>
      </c>
      <c r="F81" s="4" t="s">
        <v>250</v>
      </c>
      <c r="G81" s="78" t="s">
        <v>251</v>
      </c>
      <c r="H81" s="33"/>
      <c r="I81" s="104"/>
      <c r="J81" s="73"/>
      <c r="K81" s="45"/>
      <c r="L81" s="11">
        <v>6000</v>
      </c>
      <c r="M81" s="30" t="s">
        <v>130</v>
      </c>
      <c r="N81" s="140"/>
    </row>
    <row r="82" spans="2:14" ht="45" x14ac:dyDescent="0.25">
      <c r="B82" s="6" t="s">
        <v>252</v>
      </c>
      <c r="C82" s="12" t="s">
        <v>253</v>
      </c>
      <c r="D82" s="5" t="s">
        <v>249</v>
      </c>
      <c r="E82" s="3">
        <v>43571</v>
      </c>
      <c r="F82" s="4" t="s">
        <v>250</v>
      </c>
      <c r="G82" s="5" t="s">
        <v>251</v>
      </c>
      <c r="H82" s="5"/>
      <c r="I82" s="31"/>
      <c r="J82" s="73"/>
      <c r="K82" s="45"/>
      <c r="L82" s="11">
        <v>5116.72</v>
      </c>
      <c r="M82" s="30" t="s">
        <v>130</v>
      </c>
      <c r="N82" s="140"/>
    </row>
    <row r="83" spans="2:14" ht="30" x14ac:dyDescent="0.25">
      <c r="B83" s="6" t="s">
        <v>258</v>
      </c>
      <c r="C83" s="21" t="s">
        <v>254</v>
      </c>
      <c r="D83" s="5" t="s">
        <v>255</v>
      </c>
      <c r="E83" s="3">
        <v>43600</v>
      </c>
      <c r="F83" s="4" t="s">
        <v>256</v>
      </c>
      <c r="G83" s="5" t="s">
        <v>257</v>
      </c>
      <c r="H83" s="31"/>
      <c r="I83" s="31"/>
      <c r="J83" s="70"/>
      <c r="K83" s="45"/>
      <c r="L83" s="11">
        <f>5344+1603.2</f>
        <v>6947.2</v>
      </c>
      <c r="M83" s="30" t="s">
        <v>130</v>
      </c>
      <c r="N83" s="140"/>
    </row>
    <row r="84" spans="2:14" ht="45" x14ac:dyDescent="0.25">
      <c r="B84" s="6" t="s">
        <v>260</v>
      </c>
      <c r="C84" s="21" t="s">
        <v>263</v>
      </c>
      <c r="D84" s="5" t="s">
        <v>261</v>
      </c>
      <c r="E84" s="3">
        <v>43451</v>
      </c>
      <c r="F84" s="4"/>
      <c r="G84" s="5" t="s">
        <v>262</v>
      </c>
      <c r="H84" s="5"/>
      <c r="I84" s="31"/>
      <c r="J84" s="131"/>
      <c r="K84" s="194"/>
      <c r="L84" s="192"/>
      <c r="M84" s="30" t="s">
        <v>129</v>
      </c>
      <c r="N84" s="140"/>
    </row>
    <row r="85" spans="2:14" ht="45" x14ac:dyDescent="0.25">
      <c r="B85" s="6" t="s">
        <v>276</v>
      </c>
      <c r="C85" s="21"/>
      <c r="D85" s="5" t="s">
        <v>265</v>
      </c>
      <c r="E85" s="3">
        <v>43643</v>
      </c>
      <c r="F85" s="4" t="s">
        <v>266</v>
      </c>
      <c r="G85" s="4" t="s">
        <v>275</v>
      </c>
      <c r="H85" s="5"/>
      <c r="I85" s="31"/>
      <c r="J85" s="73"/>
      <c r="K85" s="45"/>
      <c r="L85" s="11">
        <f>400000+400000</f>
        <v>800000</v>
      </c>
      <c r="M85" s="30" t="s">
        <v>130</v>
      </c>
      <c r="N85" s="140"/>
    </row>
    <row r="86" spans="2:14" ht="30" x14ac:dyDescent="0.25">
      <c r="B86" s="6" t="s">
        <v>773</v>
      </c>
      <c r="C86" s="21" t="s">
        <v>699</v>
      </c>
      <c r="D86" s="25" t="s">
        <v>267</v>
      </c>
      <c r="E86" s="27">
        <v>43713</v>
      </c>
      <c r="F86" s="40" t="s">
        <v>268</v>
      </c>
      <c r="G86" s="61" t="s">
        <v>269</v>
      </c>
      <c r="H86" s="61"/>
      <c r="I86" s="93"/>
      <c r="J86" s="73"/>
      <c r="K86" s="51"/>
      <c r="L86" s="57">
        <f>9832.96+2458.24</f>
        <v>12291.199999999999</v>
      </c>
      <c r="M86" s="1" t="s">
        <v>130</v>
      </c>
      <c r="N86" s="140"/>
    </row>
    <row r="87" spans="2:14" ht="45" x14ac:dyDescent="0.25">
      <c r="B87" s="6" t="s">
        <v>270</v>
      </c>
      <c r="C87" s="21" t="s">
        <v>271</v>
      </c>
      <c r="D87" s="25" t="s">
        <v>272</v>
      </c>
      <c r="E87" s="27">
        <v>43720</v>
      </c>
      <c r="F87" s="40" t="s">
        <v>273</v>
      </c>
      <c r="G87" s="61" t="s">
        <v>274</v>
      </c>
      <c r="H87" s="61"/>
      <c r="I87" s="93"/>
      <c r="J87" s="73"/>
      <c r="K87" s="51"/>
      <c r="L87" s="57">
        <f>13230+5670</f>
        <v>18900</v>
      </c>
      <c r="M87" s="30" t="s">
        <v>130</v>
      </c>
      <c r="N87" s="140"/>
    </row>
    <row r="88" spans="2:14" ht="45" x14ac:dyDescent="0.25">
      <c r="B88" s="6" t="s">
        <v>277</v>
      </c>
      <c r="C88" s="21" t="s">
        <v>278</v>
      </c>
      <c r="D88" s="5" t="s">
        <v>279</v>
      </c>
      <c r="E88" s="27">
        <v>43748</v>
      </c>
      <c r="F88" s="40" t="s">
        <v>280</v>
      </c>
      <c r="G88" s="61" t="s">
        <v>281</v>
      </c>
      <c r="H88" s="61"/>
      <c r="I88" s="93"/>
      <c r="J88" s="131"/>
      <c r="K88" s="195"/>
      <c r="L88" s="196"/>
      <c r="M88" s="30" t="s">
        <v>129</v>
      </c>
      <c r="N88" s="140"/>
    </row>
    <row r="89" spans="2:14" ht="255" x14ac:dyDescent="0.25">
      <c r="B89" s="6" t="s">
        <v>688</v>
      </c>
      <c r="C89" s="13" t="s">
        <v>282</v>
      </c>
      <c r="D89" s="4" t="s">
        <v>283</v>
      </c>
      <c r="E89" s="29">
        <v>43748</v>
      </c>
      <c r="F89" s="40" t="s">
        <v>284</v>
      </c>
      <c r="G89" s="92" t="s">
        <v>285</v>
      </c>
      <c r="H89" s="44"/>
      <c r="I89" s="93"/>
      <c r="J89" s="73"/>
      <c r="K89" s="51"/>
      <c r="L89" s="57">
        <f>131667+7000+65833.5+65833.5+7000+7000+5000+20000+7000+2800+7000+20000</f>
        <v>346134</v>
      </c>
      <c r="M89" s="30" t="s">
        <v>129</v>
      </c>
      <c r="N89" s="140"/>
    </row>
    <row r="90" spans="2:14" ht="45" x14ac:dyDescent="0.25">
      <c r="B90" s="6" t="s">
        <v>773</v>
      </c>
      <c r="C90" s="21" t="s">
        <v>699</v>
      </c>
      <c r="D90" s="4" t="s">
        <v>286</v>
      </c>
      <c r="E90" s="29">
        <v>43760</v>
      </c>
      <c r="F90" s="40"/>
      <c r="G90" s="92" t="s">
        <v>287</v>
      </c>
      <c r="H90" s="61"/>
      <c r="I90" s="93"/>
      <c r="J90" s="73"/>
      <c r="K90" s="51"/>
      <c r="L90" s="57">
        <f>6904.6+13520.32</f>
        <v>20424.919999999998</v>
      </c>
      <c r="M90" s="1" t="s">
        <v>130</v>
      </c>
      <c r="N90" s="140"/>
    </row>
    <row r="91" spans="2:14" ht="60" x14ac:dyDescent="0.25">
      <c r="B91" s="6" t="s">
        <v>289</v>
      </c>
      <c r="C91" s="89" t="s">
        <v>290</v>
      </c>
      <c r="D91" s="4" t="s">
        <v>291</v>
      </c>
      <c r="E91" s="29">
        <v>43775</v>
      </c>
      <c r="F91" s="40" t="s">
        <v>280</v>
      </c>
      <c r="G91" s="92" t="s">
        <v>292</v>
      </c>
      <c r="H91" s="61"/>
      <c r="I91" s="93"/>
      <c r="J91" s="73"/>
      <c r="K91" s="51"/>
      <c r="L91" s="57">
        <f>761+13205.66</f>
        <v>13966.66</v>
      </c>
      <c r="M91" s="1" t="s">
        <v>130</v>
      </c>
      <c r="N91" s="140"/>
    </row>
    <row r="92" spans="2:14" ht="75" x14ac:dyDescent="0.25">
      <c r="B92" s="6" t="s">
        <v>773</v>
      </c>
      <c r="C92" s="21" t="s">
        <v>699</v>
      </c>
      <c r="D92" s="4" t="s">
        <v>293</v>
      </c>
      <c r="E92" s="29">
        <v>43781</v>
      </c>
      <c r="F92" s="40" t="s">
        <v>546</v>
      </c>
      <c r="G92" s="92" t="s">
        <v>294</v>
      </c>
      <c r="H92" s="61"/>
      <c r="I92" s="93"/>
      <c r="J92" s="73"/>
      <c r="K92" s="51"/>
      <c r="L92" s="57">
        <f>2602.69+9832.96</f>
        <v>12435.65</v>
      </c>
      <c r="M92" s="30" t="s">
        <v>130</v>
      </c>
      <c r="N92" s="140"/>
    </row>
    <row r="93" spans="2:14" ht="75" x14ac:dyDescent="0.25">
      <c r="B93" s="6" t="s">
        <v>773</v>
      </c>
      <c r="C93" s="21" t="s">
        <v>699</v>
      </c>
      <c r="D93" s="4" t="s">
        <v>558</v>
      </c>
      <c r="E93" s="29">
        <v>43811</v>
      </c>
      <c r="F93" s="40" t="s">
        <v>546</v>
      </c>
      <c r="G93" s="92" t="s">
        <v>347</v>
      </c>
      <c r="H93" s="61"/>
      <c r="I93" s="93"/>
      <c r="J93" s="73"/>
      <c r="K93" s="51"/>
      <c r="L93" s="57">
        <f>7374.72+9832.96</f>
        <v>17207.68</v>
      </c>
      <c r="M93" s="30" t="s">
        <v>130</v>
      </c>
      <c r="N93" s="140"/>
    </row>
    <row r="94" spans="2:14" ht="60" x14ac:dyDescent="0.25">
      <c r="B94" s="6" t="s">
        <v>7</v>
      </c>
      <c r="C94" s="94">
        <v>3049560166</v>
      </c>
      <c r="D94" s="95" t="s">
        <v>311</v>
      </c>
      <c r="E94" s="29">
        <v>43787</v>
      </c>
      <c r="F94" s="96" t="s">
        <v>295</v>
      </c>
      <c r="G94" s="97">
        <v>12000</v>
      </c>
      <c r="H94" s="61"/>
      <c r="I94" s="93"/>
      <c r="J94" s="73"/>
      <c r="K94" s="51"/>
      <c r="L94" s="57">
        <v>12000</v>
      </c>
      <c r="M94" s="30" t="s">
        <v>130</v>
      </c>
      <c r="N94" s="140"/>
    </row>
    <row r="95" spans="2:14" ht="30" x14ac:dyDescent="0.25">
      <c r="B95" s="6" t="s">
        <v>26</v>
      </c>
      <c r="C95" s="12">
        <v>830660155</v>
      </c>
      <c r="D95" s="4" t="s">
        <v>36</v>
      </c>
      <c r="E95" s="3">
        <v>43802</v>
      </c>
      <c r="F95" s="3" t="s">
        <v>297</v>
      </c>
      <c r="G95" s="4" t="s">
        <v>29</v>
      </c>
      <c r="H95" s="61"/>
      <c r="I95" s="93"/>
      <c r="J95" s="73"/>
      <c r="K95" s="51"/>
      <c r="L95" s="51">
        <f>5759+5759</f>
        <v>11518</v>
      </c>
      <c r="M95" s="30" t="s">
        <v>130</v>
      </c>
      <c r="N95" s="140"/>
    </row>
    <row r="96" spans="2:14" ht="60" x14ac:dyDescent="0.25">
      <c r="B96" s="6" t="s">
        <v>93</v>
      </c>
      <c r="C96" s="21" t="s">
        <v>710</v>
      </c>
      <c r="D96" s="4" t="s">
        <v>451</v>
      </c>
      <c r="E96" s="128" t="s">
        <v>452</v>
      </c>
      <c r="F96" s="40" t="s">
        <v>280</v>
      </c>
      <c r="G96" s="84" t="s">
        <v>298</v>
      </c>
      <c r="H96" s="88"/>
      <c r="I96" s="3"/>
      <c r="J96" s="62"/>
      <c r="K96" s="47"/>
      <c r="L96" s="11">
        <v>4500</v>
      </c>
      <c r="M96" s="30" t="s">
        <v>130</v>
      </c>
      <c r="N96" s="140"/>
    </row>
    <row r="97" spans="2:14" ht="75" x14ac:dyDescent="0.25">
      <c r="B97" s="6" t="s">
        <v>110</v>
      </c>
      <c r="C97" s="13" t="s">
        <v>456</v>
      </c>
      <c r="D97" s="4" t="s">
        <v>299</v>
      </c>
      <c r="E97" s="3">
        <v>43819</v>
      </c>
      <c r="F97" s="40" t="s">
        <v>300</v>
      </c>
      <c r="G97" s="39" t="s">
        <v>301</v>
      </c>
      <c r="H97" s="88"/>
      <c r="I97" s="3"/>
      <c r="J97" s="62"/>
      <c r="K97" s="47"/>
      <c r="L97" s="11">
        <f>3500+3500</f>
        <v>7000</v>
      </c>
      <c r="M97" s="30" t="s">
        <v>130</v>
      </c>
      <c r="N97" s="140"/>
    </row>
    <row r="98" spans="2:14" ht="60" x14ac:dyDescent="0.25">
      <c r="B98" s="6" t="s">
        <v>303</v>
      </c>
      <c r="C98" s="13">
        <v>10147540966</v>
      </c>
      <c r="D98" s="4" t="s">
        <v>304</v>
      </c>
      <c r="E98" s="3">
        <v>43819</v>
      </c>
      <c r="F98" s="40" t="s">
        <v>305</v>
      </c>
      <c r="G98" s="39">
        <v>46000</v>
      </c>
      <c r="H98" s="88"/>
      <c r="I98" s="3"/>
      <c r="J98" s="62"/>
      <c r="K98" s="47"/>
      <c r="L98" s="11">
        <v>46000</v>
      </c>
      <c r="M98" s="30" t="s">
        <v>130</v>
      </c>
      <c r="N98" s="140"/>
    </row>
    <row r="99" spans="2:14" ht="150" x14ac:dyDescent="0.25">
      <c r="B99" s="6" t="s">
        <v>306</v>
      </c>
      <c r="C99" s="13" t="s">
        <v>307</v>
      </c>
      <c r="D99" s="4" t="s">
        <v>691</v>
      </c>
      <c r="E99" s="3">
        <v>43819</v>
      </c>
      <c r="F99" s="40" t="s">
        <v>308</v>
      </c>
      <c r="G99" s="39">
        <v>155011.12</v>
      </c>
      <c r="H99" s="88"/>
      <c r="I99" s="3"/>
      <c r="J99" s="62"/>
      <c r="K99" s="47"/>
      <c r="L99" s="11">
        <f>12400.89+24801.71+24801.77</f>
        <v>62004.369999999995</v>
      </c>
      <c r="M99" s="30" t="s">
        <v>129</v>
      </c>
      <c r="N99" s="140"/>
    </row>
    <row r="100" spans="2:14" ht="75" x14ac:dyDescent="0.25">
      <c r="B100" s="6" t="s">
        <v>309</v>
      </c>
      <c r="C100" s="117">
        <v>11229180150</v>
      </c>
      <c r="D100" s="118" t="s">
        <v>348</v>
      </c>
      <c r="E100" s="119" t="s">
        <v>349</v>
      </c>
      <c r="F100" s="120" t="s">
        <v>350</v>
      </c>
      <c r="G100" s="121" t="s">
        <v>351</v>
      </c>
      <c r="H100" s="88"/>
      <c r="I100" s="3"/>
      <c r="J100" s="62"/>
      <c r="K100" s="47"/>
      <c r="L100" s="11">
        <f>4582.66+166.64+1666.42+1666.42+1666.42+1666.42+1666.42+1666.42+560+1666.42+280+1946.42+1666.42+280+1666.42+280+1666.42+280+280+1666.42+280+1666.42+280+1666.42+1666.42+280+1666.42+280+1666.42+280+1666.42+280+1666.42+280+1666.42+280+1666.42+280</f>
        <v>44504.119999999981</v>
      </c>
      <c r="M100" s="30" t="s">
        <v>130</v>
      </c>
      <c r="N100" s="140"/>
    </row>
    <row r="101" spans="2:14" ht="60" x14ac:dyDescent="0.25">
      <c r="B101" s="6" t="s">
        <v>7</v>
      </c>
      <c r="C101" s="94">
        <v>3049560166</v>
      </c>
      <c r="D101" s="95" t="s">
        <v>310</v>
      </c>
      <c r="E101" s="29">
        <v>43858</v>
      </c>
      <c r="F101" s="96" t="s">
        <v>312</v>
      </c>
      <c r="G101" s="97">
        <v>3000</v>
      </c>
      <c r="H101" s="61"/>
      <c r="I101" s="93"/>
      <c r="J101" s="73"/>
      <c r="K101" s="51"/>
      <c r="L101" s="57">
        <v>3000</v>
      </c>
      <c r="M101" s="30" t="s">
        <v>130</v>
      </c>
      <c r="N101" s="140"/>
    </row>
    <row r="102" spans="2:14" ht="75" x14ac:dyDescent="0.25">
      <c r="B102" s="6" t="s">
        <v>314</v>
      </c>
      <c r="C102" s="13" t="s">
        <v>315</v>
      </c>
      <c r="D102" s="95" t="s">
        <v>316</v>
      </c>
      <c r="E102" s="29">
        <v>43872</v>
      </c>
      <c r="F102" s="30" t="s">
        <v>317</v>
      </c>
      <c r="G102" s="97" t="s">
        <v>318</v>
      </c>
      <c r="H102" s="61"/>
      <c r="I102" s="93"/>
      <c r="J102" s="73"/>
      <c r="K102" s="51"/>
      <c r="L102" s="51">
        <f>1843.68+1597.86</f>
        <v>3441.54</v>
      </c>
      <c r="M102" s="30" t="s">
        <v>130</v>
      </c>
      <c r="N102" s="140"/>
    </row>
    <row r="103" spans="2:14" ht="30" x14ac:dyDescent="0.25">
      <c r="B103" s="6" t="s">
        <v>192</v>
      </c>
      <c r="C103" s="21" t="s">
        <v>152</v>
      </c>
      <c r="D103" s="4" t="s">
        <v>241</v>
      </c>
      <c r="E103" s="10">
        <v>43880</v>
      </c>
      <c r="F103" s="10" t="s">
        <v>320</v>
      </c>
      <c r="G103" s="32">
        <v>38000</v>
      </c>
      <c r="H103" s="32"/>
      <c r="I103" s="102"/>
      <c r="J103" s="73"/>
      <c r="K103" s="51"/>
      <c r="L103" s="11">
        <f>4750+4750+4750+4750+4750+4750+4750+4750</f>
        <v>38000</v>
      </c>
      <c r="M103" s="30" t="s">
        <v>130</v>
      </c>
      <c r="N103" s="140"/>
    </row>
    <row r="104" spans="2:14" ht="60" x14ac:dyDescent="0.25">
      <c r="B104" s="6" t="s">
        <v>314</v>
      </c>
      <c r="C104" s="13" t="s">
        <v>315</v>
      </c>
      <c r="D104" s="4" t="s">
        <v>321</v>
      </c>
      <c r="E104" s="10">
        <v>43899</v>
      </c>
      <c r="F104" s="10" t="s">
        <v>322</v>
      </c>
      <c r="G104" s="109" t="s">
        <v>323</v>
      </c>
      <c r="H104" s="32"/>
      <c r="I104" s="102"/>
      <c r="J104" s="73"/>
      <c r="K104" s="51"/>
      <c r="L104" s="11">
        <v>1175.68</v>
      </c>
      <c r="M104" s="30" t="s">
        <v>130</v>
      </c>
      <c r="N104" s="140"/>
    </row>
    <row r="105" spans="2:14" ht="45" x14ac:dyDescent="0.25">
      <c r="B105" s="6" t="s">
        <v>142</v>
      </c>
      <c r="C105" s="13" t="s">
        <v>143</v>
      </c>
      <c r="D105" s="4" t="s">
        <v>324</v>
      </c>
      <c r="E105" s="111" t="s">
        <v>327</v>
      </c>
      <c r="F105" s="1" t="s">
        <v>325</v>
      </c>
      <c r="G105" s="4" t="s">
        <v>326</v>
      </c>
      <c r="H105" s="109"/>
      <c r="I105" s="102"/>
      <c r="J105" s="73"/>
      <c r="K105" s="51"/>
      <c r="L105" s="11">
        <f>16032+11362.67+13260.6</f>
        <v>40655.269999999997</v>
      </c>
      <c r="M105" s="30" t="s">
        <v>130</v>
      </c>
      <c r="N105" s="140"/>
    </row>
    <row r="106" spans="2:14" ht="60" x14ac:dyDescent="0.25">
      <c r="B106" s="6" t="s">
        <v>328</v>
      </c>
      <c r="C106" s="13" t="s">
        <v>329</v>
      </c>
      <c r="D106" s="4" t="s">
        <v>330</v>
      </c>
      <c r="E106" s="111">
        <v>43937</v>
      </c>
      <c r="F106" s="1" t="s">
        <v>331</v>
      </c>
      <c r="G106" s="4" t="s">
        <v>332</v>
      </c>
      <c r="H106" s="32"/>
      <c r="I106" s="102"/>
      <c r="J106" s="131"/>
      <c r="K106" s="195"/>
      <c r="L106" s="192"/>
      <c r="M106" s="30" t="s">
        <v>129</v>
      </c>
      <c r="N106" s="140"/>
    </row>
    <row r="107" spans="2:14" s="112" customFormat="1" ht="75" x14ac:dyDescent="0.25">
      <c r="B107" s="6" t="s">
        <v>333</v>
      </c>
      <c r="C107" s="13">
        <v>12265560016</v>
      </c>
      <c r="D107" s="4" t="s">
        <v>334</v>
      </c>
      <c r="E107" s="111">
        <v>44025</v>
      </c>
      <c r="F107" s="1" t="s">
        <v>335</v>
      </c>
      <c r="G107" s="4" t="s">
        <v>336</v>
      </c>
      <c r="H107" s="32"/>
      <c r="I107" s="102"/>
      <c r="J107" s="73"/>
      <c r="K107" s="51"/>
      <c r="L107" s="11">
        <v>4800</v>
      </c>
      <c r="M107" s="30" t="s">
        <v>130</v>
      </c>
      <c r="N107" s="157"/>
    </row>
    <row r="108" spans="2:14" s="112" customFormat="1" ht="60" x14ac:dyDescent="0.25">
      <c r="B108" s="6" t="s">
        <v>337</v>
      </c>
      <c r="C108" s="13" t="s">
        <v>77</v>
      </c>
      <c r="D108" s="4" t="s">
        <v>338</v>
      </c>
      <c r="E108" s="111">
        <v>44035</v>
      </c>
      <c r="F108" s="1" t="s">
        <v>339</v>
      </c>
      <c r="G108" s="113" t="s">
        <v>340</v>
      </c>
      <c r="H108" s="32"/>
      <c r="I108" s="102"/>
      <c r="J108" s="73"/>
      <c r="K108" s="51"/>
      <c r="L108" s="11">
        <v>2137.6</v>
      </c>
      <c r="M108" s="30" t="s">
        <v>130</v>
      </c>
      <c r="N108" s="157"/>
    </row>
    <row r="109" spans="2:14" ht="60" x14ac:dyDescent="0.25">
      <c r="B109" s="6" t="s">
        <v>352</v>
      </c>
      <c r="C109" s="13">
        <v>13278150159</v>
      </c>
      <c r="D109" s="4" t="s">
        <v>353</v>
      </c>
      <c r="E109" s="111">
        <v>44141</v>
      </c>
      <c r="F109" s="1" t="s">
        <v>363</v>
      </c>
      <c r="G109" s="113" t="s">
        <v>362</v>
      </c>
      <c r="H109" s="109"/>
      <c r="I109" s="102"/>
      <c r="J109" s="73"/>
      <c r="K109" s="51"/>
      <c r="L109" s="51">
        <v>6261.29</v>
      </c>
      <c r="M109" s="30" t="s">
        <v>130</v>
      </c>
      <c r="N109" s="140"/>
    </row>
    <row r="110" spans="2:14" ht="45" x14ac:dyDescent="0.25">
      <c r="B110" s="6" t="s">
        <v>354</v>
      </c>
      <c r="C110" s="21" t="s">
        <v>355</v>
      </c>
      <c r="D110" s="4" t="s">
        <v>356</v>
      </c>
      <c r="E110" s="10" t="s">
        <v>747</v>
      </c>
      <c r="F110" s="10" t="s">
        <v>746</v>
      </c>
      <c r="G110" s="76" t="s">
        <v>750</v>
      </c>
      <c r="H110" s="75"/>
      <c r="I110" s="87"/>
      <c r="J110" s="73"/>
      <c r="K110" s="24"/>
      <c r="L110" s="24">
        <f>903.19+903.19+903.19+903.19+903.19+903.19+903.19+903.19+903.19+903.19+903.19+903.19+903.19+903.19+903.19+903.19+903.19+903.19+903.19+903.19+903.19+903.19+903.19+903.19+903.19+903.19+903.19+903.19+903.19+903.19+903.19+903.19+903.19+903.19+903.19+903.19+903.19+903.19</f>
        <v>34321.219999999987</v>
      </c>
      <c r="M110" s="30" t="s">
        <v>130</v>
      </c>
      <c r="N110" s="140"/>
    </row>
    <row r="111" spans="2:14" ht="45" x14ac:dyDescent="0.25">
      <c r="B111" s="6" t="s">
        <v>357</v>
      </c>
      <c r="C111" s="21" t="s">
        <v>358</v>
      </c>
      <c r="D111" s="4" t="s">
        <v>359</v>
      </c>
      <c r="E111" s="10">
        <v>44106</v>
      </c>
      <c r="F111" s="1" t="s">
        <v>360</v>
      </c>
      <c r="G111" s="75" t="s">
        <v>361</v>
      </c>
      <c r="H111" s="75"/>
      <c r="I111" s="87"/>
      <c r="J111" s="131"/>
      <c r="K111" s="24"/>
      <c r="L111" s="24">
        <v>3300</v>
      </c>
      <c r="M111" s="30" t="s">
        <v>130</v>
      </c>
      <c r="N111" s="140"/>
    </row>
    <row r="112" spans="2:14" ht="60" x14ac:dyDescent="0.25">
      <c r="B112" s="6" t="s">
        <v>366</v>
      </c>
      <c r="C112" s="85" t="s">
        <v>364</v>
      </c>
      <c r="D112" s="4" t="s">
        <v>365</v>
      </c>
      <c r="E112" s="135" t="s">
        <v>549</v>
      </c>
      <c r="F112" s="115" t="s">
        <v>550</v>
      </c>
      <c r="G112" s="109" t="s">
        <v>551</v>
      </c>
      <c r="H112" s="4"/>
      <c r="I112" s="10"/>
      <c r="J112" s="62"/>
      <c r="K112" s="24"/>
      <c r="L112" s="24">
        <f>83.66+966.68+1431.43+316.03+213.79+2202.92+1710.28-139.43+92.95+250.97+1849.71+2072.79+2202.92+232.37+632.06+2732.73+2398.11+2472.47+111.54+1775.35+65.07+148.72+2853.57+1691.69+2974.4+92.95+2472.47+3058.06+3076.65+2723.44</f>
        <v>42766.350000000006</v>
      </c>
      <c r="M112" s="30" t="s">
        <v>130</v>
      </c>
      <c r="N112" s="140"/>
    </row>
    <row r="113" spans="2:14" ht="75" x14ac:dyDescent="0.25">
      <c r="B113" s="6" t="s">
        <v>367</v>
      </c>
      <c r="C113" s="85" t="s">
        <v>368</v>
      </c>
      <c r="D113" s="4" t="s">
        <v>369</v>
      </c>
      <c r="E113" s="81">
        <v>44152</v>
      </c>
      <c r="F113" s="115" t="s">
        <v>370</v>
      </c>
      <c r="G113" s="109" t="s">
        <v>371</v>
      </c>
      <c r="H113" s="4"/>
      <c r="I113" s="10"/>
      <c r="J113" s="62"/>
      <c r="K113" s="24"/>
      <c r="L113" s="24">
        <v>6412.8</v>
      </c>
      <c r="M113" s="30" t="s">
        <v>130</v>
      </c>
      <c r="N113" s="140"/>
    </row>
    <row r="114" spans="2:14" ht="75" x14ac:dyDescent="0.25">
      <c r="B114" s="6" t="s">
        <v>773</v>
      </c>
      <c r="C114" s="21" t="s">
        <v>699</v>
      </c>
      <c r="D114" s="4" t="s">
        <v>372</v>
      </c>
      <c r="E114" s="29">
        <v>44161</v>
      </c>
      <c r="F114" s="40" t="s">
        <v>373</v>
      </c>
      <c r="G114" s="92" t="s">
        <v>374</v>
      </c>
      <c r="H114" s="61"/>
      <c r="I114" s="93"/>
      <c r="J114" s="73"/>
      <c r="K114" s="51"/>
      <c r="L114" s="57">
        <v>7374.72</v>
      </c>
      <c r="M114" s="30" t="s">
        <v>130</v>
      </c>
      <c r="N114" s="140"/>
    </row>
    <row r="115" spans="2:14" ht="105" x14ac:dyDescent="0.25">
      <c r="B115" s="6" t="s">
        <v>801</v>
      </c>
      <c r="C115" s="12">
        <v>80104190154</v>
      </c>
      <c r="D115" s="4" t="s">
        <v>803</v>
      </c>
      <c r="E115" s="10" t="s">
        <v>804</v>
      </c>
      <c r="F115" s="40" t="s">
        <v>1056</v>
      </c>
      <c r="G115" s="92" t="s">
        <v>375</v>
      </c>
      <c r="H115" s="61"/>
      <c r="I115" s="93"/>
      <c r="J115" s="73"/>
      <c r="K115" s="190">
        <f>2638.83+2638.83+2638.83</f>
        <v>7916.49</v>
      </c>
      <c r="L115" s="51">
        <f>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f>
        <v>129467.01000000007</v>
      </c>
      <c r="M115" s="30" t="s">
        <v>129</v>
      </c>
      <c r="N115" s="140"/>
    </row>
    <row r="116" spans="2:14" ht="75" x14ac:dyDescent="0.25">
      <c r="B116" s="6" t="s">
        <v>376</v>
      </c>
      <c r="C116" s="21" t="s">
        <v>380</v>
      </c>
      <c r="D116" s="4" t="s">
        <v>377</v>
      </c>
      <c r="E116" s="29">
        <v>44166</v>
      </c>
      <c r="F116" s="40" t="s">
        <v>378</v>
      </c>
      <c r="G116" s="92" t="s">
        <v>379</v>
      </c>
      <c r="H116" s="61"/>
      <c r="I116" s="93"/>
      <c r="J116" s="73"/>
      <c r="K116" s="51"/>
      <c r="L116" s="51">
        <f>3122+3122+3122+3122+3122</f>
        <v>15610</v>
      </c>
      <c r="M116" s="30" t="s">
        <v>130</v>
      </c>
      <c r="N116" s="140"/>
    </row>
    <row r="117" spans="2:14" ht="105" x14ac:dyDescent="0.25">
      <c r="B117" s="6" t="s">
        <v>381</v>
      </c>
      <c r="C117" s="12">
        <v>80149630156</v>
      </c>
      <c r="D117" s="4" t="s">
        <v>802</v>
      </c>
      <c r="E117" s="10" t="s">
        <v>805</v>
      </c>
      <c r="F117" s="40" t="s">
        <v>1055</v>
      </c>
      <c r="G117" s="92" t="s">
        <v>375</v>
      </c>
      <c r="H117" s="61"/>
      <c r="I117" s="93"/>
      <c r="J117" s="73"/>
      <c r="K117" s="57">
        <f>2638.83+2638.83+2638.83</f>
        <v>7916.49</v>
      </c>
      <c r="L117" s="57">
        <f>2211.44+2211.44+2211.44+2211.44+2211.44+2211.44+2211.44+2211.44+2211.44+2211.44+2211.44+2211.44+2211.44+2211.44+2211.44+2211.44+2211.44+935.61+2211.44+2327.44+1749+2211.44+2211.44+2211.44+2211.44+2211.44+2211.44+2211.44+2211.44+2211.44+2211.44+2211.44+2211.44+2211.44+2211.44+2211.44+2211.44+2211.44+2211.44+2638.83+2638.83+2638.83+2638.83+2638.83+2638.83+2638.83+2638.83+2638.83+2638.83+2638.83+2638.83+2638.83+2638.83+2638.83</f>
        <v>124206.34000000007</v>
      </c>
      <c r="M117" s="30" t="s">
        <v>129</v>
      </c>
      <c r="N117" s="140"/>
    </row>
    <row r="118" spans="2:14" ht="90" x14ac:dyDescent="0.25">
      <c r="B118" s="6" t="s">
        <v>382</v>
      </c>
      <c r="C118" s="12">
        <v>97229620154</v>
      </c>
      <c r="D118" s="4" t="s">
        <v>383</v>
      </c>
      <c r="E118" s="29">
        <v>44176</v>
      </c>
      <c r="F118" s="40" t="s">
        <v>672</v>
      </c>
      <c r="G118" s="92" t="s">
        <v>375</v>
      </c>
      <c r="H118" s="61"/>
      <c r="I118" s="93"/>
      <c r="J118" s="73"/>
      <c r="K118" s="51"/>
      <c r="L118" s="57">
        <f>1234.7+2015.29+2025.61+2025.7+2104.06+1745.21+1745.3+2073.53+2103.97+2025.7+2025.69+2103.97+2186.98+2025.71+2082.04+2075.71+1955.59+2103.97+1920.46+2111.11+2027.09+2034.66+2027.15+1882.29</f>
        <v>47661.49</v>
      </c>
      <c r="M118" s="30" t="s">
        <v>130</v>
      </c>
      <c r="N118" s="140"/>
    </row>
    <row r="119" spans="2:14" ht="30" x14ac:dyDescent="0.25">
      <c r="B119" s="6" t="s">
        <v>384</v>
      </c>
      <c r="C119" s="21" t="s">
        <v>519</v>
      </c>
      <c r="D119" s="4" t="s">
        <v>36</v>
      </c>
      <c r="E119" s="3">
        <v>44168</v>
      </c>
      <c r="F119" s="3" t="s">
        <v>385</v>
      </c>
      <c r="G119" s="4" t="s">
        <v>29</v>
      </c>
      <c r="H119" s="61"/>
      <c r="I119" s="93"/>
      <c r="J119" s="73"/>
      <c r="K119" s="51"/>
      <c r="L119" s="51">
        <f>4799.17+5759+959.83</f>
        <v>11518</v>
      </c>
      <c r="M119" s="30" t="s">
        <v>130</v>
      </c>
      <c r="N119" s="140"/>
    </row>
    <row r="120" spans="2:14" ht="60" x14ac:dyDescent="0.25">
      <c r="B120" s="6" t="s">
        <v>223</v>
      </c>
      <c r="C120" s="21" t="s">
        <v>224</v>
      </c>
      <c r="D120" s="4" t="s">
        <v>386</v>
      </c>
      <c r="E120" s="26">
        <v>44201</v>
      </c>
      <c r="F120" s="40" t="s">
        <v>387</v>
      </c>
      <c r="G120" s="32" t="s">
        <v>388</v>
      </c>
      <c r="H120" s="32"/>
      <c r="I120" s="102"/>
      <c r="J120" s="73"/>
      <c r="K120" s="45"/>
      <c r="L120" s="45">
        <v>8051</v>
      </c>
      <c r="M120" s="1" t="s">
        <v>130</v>
      </c>
      <c r="N120" s="140"/>
    </row>
    <row r="121" spans="2:14" ht="45" x14ac:dyDescent="0.25">
      <c r="B121" s="6" t="s">
        <v>389</v>
      </c>
      <c r="C121" s="21" t="s">
        <v>390</v>
      </c>
      <c r="D121" s="4" t="s">
        <v>445</v>
      </c>
      <c r="E121" s="26">
        <v>44200</v>
      </c>
      <c r="F121" s="40" t="s">
        <v>408</v>
      </c>
      <c r="G121" s="32" t="s">
        <v>391</v>
      </c>
      <c r="H121" s="32"/>
      <c r="I121" s="102"/>
      <c r="J121" s="73"/>
      <c r="K121" s="45"/>
      <c r="L121" s="11">
        <f>12291.2+14749.44</f>
        <v>27040.639999999999</v>
      </c>
      <c r="M121" s="30" t="s">
        <v>483</v>
      </c>
      <c r="N121" s="140"/>
    </row>
    <row r="122" spans="2:14" ht="135" x14ac:dyDescent="0.25">
      <c r="B122" s="6" t="s">
        <v>394</v>
      </c>
      <c r="C122" s="13" t="s">
        <v>143</v>
      </c>
      <c r="D122" s="4" t="s">
        <v>392</v>
      </c>
      <c r="E122" s="111">
        <v>44211</v>
      </c>
      <c r="F122" s="1" t="s">
        <v>465</v>
      </c>
      <c r="G122" s="32" t="s">
        <v>393</v>
      </c>
      <c r="H122" s="109"/>
      <c r="I122" s="102"/>
      <c r="J122" s="73"/>
      <c r="K122" s="51"/>
      <c r="L122" s="11">
        <v>37408</v>
      </c>
      <c r="M122" s="30" t="s">
        <v>130</v>
      </c>
      <c r="N122" s="140"/>
    </row>
    <row r="123" spans="2:14" ht="90" x14ac:dyDescent="0.25">
      <c r="B123" s="6" t="s">
        <v>394</v>
      </c>
      <c r="C123" s="13" t="s">
        <v>143</v>
      </c>
      <c r="D123" s="4" t="s">
        <v>395</v>
      </c>
      <c r="E123" s="111">
        <v>44223</v>
      </c>
      <c r="F123" s="40" t="s">
        <v>387</v>
      </c>
      <c r="G123" s="32" t="s">
        <v>371</v>
      </c>
      <c r="H123" s="109"/>
      <c r="I123" s="102"/>
      <c r="J123" s="73"/>
      <c r="K123" s="51"/>
      <c r="L123" s="11">
        <v>6412.8</v>
      </c>
      <c r="M123" s="30" t="s">
        <v>130</v>
      </c>
      <c r="N123" s="140"/>
    </row>
    <row r="124" spans="2:14" ht="60" x14ac:dyDescent="0.25">
      <c r="B124" s="6" t="s">
        <v>7</v>
      </c>
      <c r="C124" s="94">
        <v>3049560166</v>
      </c>
      <c r="D124" s="95" t="s">
        <v>396</v>
      </c>
      <c r="E124" s="29">
        <v>44224</v>
      </c>
      <c r="F124" s="96" t="s">
        <v>300</v>
      </c>
      <c r="G124" s="97">
        <v>3000</v>
      </c>
      <c r="H124" s="32"/>
      <c r="I124" s="102"/>
      <c r="J124" s="73"/>
      <c r="K124" s="51"/>
      <c r="L124" s="11">
        <v>3000</v>
      </c>
      <c r="M124" s="30" t="s">
        <v>130</v>
      </c>
      <c r="N124" s="140"/>
    </row>
    <row r="125" spans="2:14" ht="60" x14ac:dyDescent="0.25">
      <c r="B125" s="6" t="s">
        <v>404</v>
      </c>
      <c r="C125" s="94" t="s">
        <v>405</v>
      </c>
      <c r="D125" s="4" t="s">
        <v>402</v>
      </c>
      <c r="E125" s="31" t="s">
        <v>435</v>
      </c>
      <c r="F125" s="3" t="s">
        <v>403</v>
      </c>
      <c r="G125" s="127" t="s">
        <v>436</v>
      </c>
      <c r="H125" s="32"/>
      <c r="I125" s="102"/>
      <c r="J125" s="73"/>
      <c r="K125" s="51"/>
      <c r="L125" s="51">
        <v>14629.2</v>
      </c>
      <c r="M125" s="30" t="s">
        <v>130</v>
      </c>
      <c r="N125" s="140"/>
    </row>
    <row r="126" spans="2:14" ht="90" x14ac:dyDescent="0.25">
      <c r="B126" s="6" t="s">
        <v>406</v>
      </c>
      <c r="C126" s="12">
        <v>12866070159</v>
      </c>
      <c r="D126" s="4" t="s">
        <v>407</v>
      </c>
      <c r="E126" s="3">
        <v>44256</v>
      </c>
      <c r="F126" s="40" t="s">
        <v>423</v>
      </c>
      <c r="G126" s="4" t="s">
        <v>498</v>
      </c>
      <c r="H126" s="36"/>
      <c r="I126" s="87"/>
      <c r="J126" s="67"/>
      <c r="K126" s="47"/>
      <c r="L126" s="47">
        <f>1347.41+4724.07</f>
        <v>6071.48</v>
      </c>
      <c r="M126" s="30" t="s">
        <v>130</v>
      </c>
      <c r="N126" s="140"/>
    </row>
    <row r="127" spans="2:14" ht="60" x14ac:dyDescent="0.25">
      <c r="B127" s="6" t="s">
        <v>389</v>
      </c>
      <c r="C127" s="21" t="s">
        <v>390</v>
      </c>
      <c r="D127" s="4" t="s">
        <v>409</v>
      </c>
      <c r="E127" s="26">
        <v>44263</v>
      </c>
      <c r="F127" s="123" t="s">
        <v>413</v>
      </c>
      <c r="G127" s="32" t="s">
        <v>410</v>
      </c>
      <c r="H127" s="36"/>
      <c r="I127" s="87"/>
      <c r="J127" s="67"/>
      <c r="K127" s="47"/>
      <c r="L127" s="47">
        <f>2067.13+2943.74</f>
        <v>5010.87</v>
      </c>
      <c r="M127" s="30" t="s">
        <v>130</v>
      </c>
      <c r="N127" s="140"/>
    </row>
    <row r="128" spans="2:14" ht="105" x14ac:dyDescent="0.25">
      <c r="B128" s="6" t="s">
        <v>389</v>
      </c>
      <c r="C128" s="21" t="s">
        <v>390</v>
      </c>
      <c r="D128" s="4" t="s">
        <v>484</v>
      </c>
      <c r="E128" s="26">
        <v>44263</v>
      </c>
      <c r="F128" s="132" t="s">
        <v>411</v>
      </c>
      <c r="G128" s="32" t="s">
        <v>412</v>
      </c>
      <c r="H128" s="36"/>
      <c r="I128" s="87"/>
      <c r="J128" s="67"/>
      <c r="K128" s="47"/>
      <c r="L128" s="11">
        <v>5678.53</v>
      </c>
      <c r="M128" s="30" t="s">
        <v>130</v>
      </c>
      <c r="N128" s="140"/>
    </row>
    <row r="129" spans="2:14" ht="75" x14ac:dyDescent="0.25">
      <c r="B129" s="6" t="s">
        <v>394</v>
      </c>
      <c r="C129" s="13" t="s">
        <v>143</v>
      </c>
      <c r="D129" s="4" t="s">
        <v>414</v>
      </c>
      <c r="E129" s="111">
        <v>44280</v>
      </c>
      <c r="F129" s="40" t="s">
        <v>415</v>
      </c>
      <c r="G129" s="109" t="s">
        <v>416</v>
      </c>
      <c r="H129" s="32"/>
      <c r="I129" s="102"/>
      <c r="J129" s="73"/>
      <c r="K129" s="11"/>
      <c r="L129" s="11">
        <v>4275.2</v>
      </c>
      <c r="M129" s="30" t="s">
        <v>130</v>
      </c>
      <c r="N129" s="140"/>
    </row>
    <row r="130" spans="2:14" s="112" customFormat="1" ht="48.75" customHeight="1" x14ac:dyDescent="0.25">
      <c r="B130" s="6" t="s">
        <v>120</v>
      </c>
      <c r="C130" s="21" t="s">
        <v>121</v>
      </c>
      <c r="D130" s="4" t="s">
        <v>419</v>
      </c>
      <c r="E130" s="27">
        <v>44300</v>
      </c>
      <c r="F130" s="26" t="s">
        <v>116</v>
      </c>
      <c r="G130" s="82" t="s">
        <v>420</v>
      </c>
      <c r="H130" s="32"/>
      <c r="I130" s="102"/>
      <c r="J130" s="73"/>
      <c r="K130" s="51">
        <f>248.38+248.38+248.38</f>
        <v>745.14</v>
      </c>
      <c r="L130" s="11">
        <f>248.38+248.38+248.38+248.38+248.38+248.38+248.38+248.38+248.38+384.57+248.38+248.38+248.38+248.38+248.38+248.38+248.38+248.38+248.38+248.38+248.38+248.38+248.38+248.38+248.38+248.38+248.38+248.38+248.38+248.38+248.38+248.38+248.38+248.38+248.38+248.38+248.38+248.38+248.38+248.38+248.38+248.38+248.38+248.38+248.38+248.38</f>
        <v>11561.669999999993</v>
      </c>
      <c r="M130" s="30" t="s">
        <v>129</v>
      </c>
      <c r="N130" s="157"/>
    </row>
    <row r="131" spans="2:14" s="112" customFormat="1" ht="105" x14ac:dyDescent="0.25">
      <c r="B131" s="188" t="s">
        <v>992</v>
      </c>
      <c r="C131" s="21" t="s">
        <v>185</v>
      </c>
      <c r="D131" s="4" t="s">
        <v>909</v>
      </c>
      <c r="E131" s="27">
        <v>44285</v>
      </c>
      <c r="F131" s="10" t="s">
        <v>422</v>
      </c>
      <c r="G131" s="125" t="s">
        <v>862</v>
      </c>
      <c r="H131" s="76"/>
      <c r="I131" s="10"/>
      <c r="J131" s="73"/>
      <c r="K131" s="51"/>
      <c r="L131" s="51">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+1980.08+44.77+1345.15+13.28+12.93+12.93+12.43+10935.15+1345.15+1271.89+1938.85</f>
        <v>276473.61</v>
      </c>
      <c r="M131" s="30" t="s">
        <v>130</v>
      </c>
      <c r="N131" s="157"/>
    </row>
    <row r="132" spans="2:14" ht="90" x14ac:dyDescent="0.25">
      <c r="B132" s="6" t="s">
        <v>406</v>
      </c>
      <c r="C132" s="12">
        <v>12866070159</v>
      </c>
      <c r="D132" s="4" t="s">
        <v>424</v>
      </c>
      <c r="E132" s="3">
        <v>44302</v>
      </c>
      <c r="F132" s="40" t="s">
        <v>444</v>
      </c>
      <c r="G132" s="4" t="s">
        <v>498</v>
      </c>
      <c r="H132" s="36"/>
      <c r="I132" s="87"/>
      <c r="J132" s="67"/>
      <c r="K132" s="47"/>
      <c r="L132" s="47">
        <f>2067.13+3665.09</f>
        <v>5732.22</v>
      </c>
      <c r="M132" s="30" t="s">
        <v>130</v>
      </c>
      <c r="N132" s="140"/>
    </row>
    <row r="133" spans="2:14" ht="60" x14ac:dyDescent="0.25">
      <c r="B133" s="6" t="s">
        <v>427</v>
      </c>
      <c r="C133" s="12">
        <v>2073640134</v>
      </c>
      <c r="D133" s="4" t="s">
        <v>428</v>
      </c>
      <c r="E133" s="3">
        <v>44334</v>
      </c>
      <c r="F133" s="40" t="s">
        <v>1050</v>
      </c>
      <c r="G133" s="4" t="s">
        <v>429</v>
      </c>
      <c r="H133" s="36"/>
      <c r="I133" s="87"/>
      <c r="J133" s="67"/>
      <c r="K133" s="47"/>
      <c r="L133" s="11">
        <v>12825.6</v>
      </c>
      <c r="M133" s="30" t="s">
        <v>130</v>
      </c>
      <c r="N133" s="2" t="s">
        <v>1052</v>
      </c>
    </row>
    <row r="134" spans="2:14" ht="45" x14ac:dyDescent="0.25">
      <c r="B134" s="6" t="s">
        <v>430</v>
      </c>
      <c r="C134" s="12" t="s">
        <v>431</v>
      </c>
      <c r="D134" s="4" t="s">
        <v>432</v>
      </c>
      <c r="E134" s="3">
        <v>44334</v>
      </c>
      <c r="F134" s="40" t="s">
        <v>433</v>
      </c>
      <c r="G134" s="4" t="s">
        <v>434</v>
      </c>
      <c r="H134" s="36"/>
      <c r="I134" s="87"/>
      <c r="J134" s="67"/>
      <c r="K134" s="191"/>
      <c r="L134" s="192"/>
      <c r="M134" s="30" t="s">
        <v>129</v>
      </c>
      <c r="N134" s="140"/>
    </row>
    <row r="135" spans="2:14" ht="120" x14ac:dyDescent="0.25">
      <c r="B135" s="6" t="s">
        <v>463</v>
      </c>
      <c r="C135" s="13" t="s">
        <v>464</v>
      </c>
      <c r="D135" s="25" t="s">
        <v>118</v>
      </c>
      <c r="E135" s="29">
        <v>44355</v>
      </c>
      <c r="F135" s="115" t="s">
        <v>438</v>
      </c>
      <c r="G135" s="4" t="s">
        <v>437</v>
      </c>
      <c r="H135" s="115" t="s">
        <v>1059</v>
      </c>
      <c r="I135" s="154">
        <v>45737</v>
      </c>
      <c r="J135" s="62" t="s">
        <v>1044</v>
      </c>
      <c r="K135" s="24">
        <v>5875</v>
      </c>
      <c r="L135" s="57">
        <f>5875+5875+5875+5875+5875+5875+5875+5875</f>
        <v>47000</v>
      </c>
      <c r="M135" s="30" t="s">
        <v>129</v>
      </c>
      <c r="N135" s="140"/>
    </row>
    <row r="136" spans="2:14" ht="60" x14ac:dyDescent="0.25">
      <c r="B136" s="6" t="s">
        <v>389</v>
      </c>
      <c r="C136" s="21" t="s">
        <v>390</v>
      </c>
      <c r="D136" s="4" t="s">
        <v>439</v>
      </c>
      <c r="E136" s="26">
        <v>44414</v>
      </c>
      <c r="F136" s="10" t="s">
        <v>413</v>
      </c>
      <c r="G136" s="32" t="s">
        <v>440</v>
      </c>
      <c r="H136" s="36"/>
      <c r="I136" s="185"/>
      <c r="J136" s="67"/>
      <c r="K136" s="47"/>
      <c r="L136" s="11">
        <v>2458.2399999999998</v>
      </c>
      <c r="M136" s="30" t="s">
        <v>130</v>
      </c>
      <c r="N136" s="140"/>
    </row>
    <row r="137" spans="2:14" ht="45" x14ac:dyDescent="0.25">
      <c r="B137" s="6" t="s">
        <v>609</v>
      </c>
      <c r="C137" s="13">
        <v>12265560016</v>
      </c>
      <c r="D137" s="4" t="s">
        <v>441</v>
      </c>
      <c r="E137" s="111">
        <v>44364</v>
      </c>
      <c r="F137" s="1" t="s">
        <v>442</v>
      </c>
      <c r="G137" s="4" t="s">
        <v>443</v>
      </c>
      <c r="H137" s="32"/>
      <c r="I137" s="102"/>
      <c r="J137" s="73"/>
      <c r="K137" s="51"/>
      <c r="L137" s="11">
        <f>2750+2750+2860+2860</f>
        <v>11220</v>
      </c>
      <c r="M137" s="30" t="s">
        <v>129</v>
      </c>
      <c r="N137" s="140"/>
    </row>
    <row r="138" spans="2:14" ht="60" x14ac:dyDescent="0.25">
      <c r="B138" s="6" t="s">
        <v>389</v>
      </c>
      <c r="C138" s="21" t="s">
        <v>390</v>
      </c>
      <c r="D138" s="4" t="s">
        <v>446</v>
      </c>
      <c r="E138" s="26">
        <v>44370</v>
      </c>
      <c r="F138" s="10" t="s">
        <v>413</v>
      </c>
      <c r="G138" s="109" t="s">
        <v>447</v>
      </c>
      <c r="H138" s="36"/>
      <c r="I138" s="87"/>
      <c r="J138" s="67"/>
      <c r="K138" s="47"/>
      <c r="L138" s="11">
        <f>1496.13+844.78</f>
        <v>2340.91</v>
      </c>
      <c r="M138" s="30" t="s">
        <v>130</v>
      </c>
      <c r="N138" s="140"/>
    </row>
    <row r="139" spans="2:14" ht="120" x14ac:dyDescent="0.25">
      <c r="B139" s="6" t="s">
        <v>491</v>
      </c>
      <c r="C139" s="21" t="s">
        <v>448</v>
      </c>
      <c r="D139" s="4" t="s">
        <v>100</v>
      </c>
      <c r="E139" s="10" t="s">
        <v>873</v>
      </c>
      <c r="F139" s="4" t="s">
        <v>872</v>
      </c>
      <c r="G139" s="4" t="s">
        <v>874</v>
      </c>
      <c r="H139" s="4"/>
      <c r="I139" s="40"/>
      <c r="J139" s="65"/>
      <c r="K139" s="46"/>
      <c r="L139" s="11">
        <f>5000+1336+5000+1336+5000+1336+5000+1336+5000+1336+5000+1336+5000+1336+5000+1336+5000+1336+5000+1336+5000+1336+5000+1336</f>
        <v>76032</v>
      </c>
      <c r="M139" s="1" t="s">
        <v>130</v>
      </c>
      <c r="N139" s="140"/>
    </row>
    <row r="140" spans="2:14" ht="60" x14ac:dyDescent="0.25">
      <c r="B140" s="6" t="s">
        <v>449</v>
      </c>
      <c r="C140" s="21" t="s">
        <v>450</v>
      </c>
      <c r="D140" s="4" t="s">
        <v>910</v>
      </c>
      <c r="E140" s="3">
        <v>44383</v>
      </c>
      <c r="F140" s="136" t="s">
        <v>413</v>
      </c>
      <c r="G140" s="4" t="s">
        <v>434</v>
      </c>
      <c r="H140" s="4"/>
      <c r="I140" s="40"/>
      <c r="J140" s="65"/>
      <c r="K140" s="46"/>
      <c r="L140" s="11">
        <v>10688</v>
      </c>
      <c r="M140" s="1" t="s">
        <v>130</v>
      </c>
      <c r="N140" s="140"/>
    </row>
    <row r="141" spans="2:14" ht="45" x14ac:dyDescent="0.25">
      <c r="B141" s="6" t="s">
        <v>994</v>
      </c>
      <c r="C141" s="21" t="s">
        <v>453</v>
      </c>
      <c r="D141" s="4" t="s">
        <v>569</v>
      </c>
      <c r="E141" s="129">
        <v>44397</v>
      </c>
      <c r="F141" s="10" t="s">
        <v>454</v>
      </c>
      <c r="G141" s="130" t="s">
        <v>455</v>
      </c>
      <c r="H141" s="4"/>
      <c r="I141" s="40"/>
      <c r="J141" s="65"/>
      <c r="K141" s="46"/>
      <c r="L141" s="46">
        <v>10766.83</v>
      </c>
      <c r="M141" s="30" t="s">
        <v>130</v>
      </c>
      <c r="N141" s="140"/>
    </row>
    <row r="142" spans="2:14" ht="45" x14ac:dyDescent="0.25">
      <c r="B142" s="6" t="s">
        <v>110</v>
      </c>
      <c r="C142" s="13" t="s">
        <v>456</v>
      </c>
      <c r="D142" s="4" t="s">
        <v>457</v>
      </c>
      <c r="E142" s="111">
        <v>44397</v>
      </c>
      <c r="F142" s="137" t="s">
        <v>458</v>
      </c>
      <c r="G142" s="4" t="s">
        <v>459</v>
      </c>
      <c r="H142" s="4"/>
      <c r="I142" s="40"/>
      <c r="J142" s="65"/>
      <c r="K142" s="46"/>
      <c r="L142" s="11">
        <f>11500+2875+2875+2875+26400+2875</f>
        <v>49400</v>
      </c>
      <c r="M142" s="30" t="s">
        <v>130</v>
      </c>
      <c r="N142" s="140"/>
    </row>
    <row r="143" spans="2:14" ht="45" x14ac:dyDescent="0.25">
      <c r="B143" s="6" t="s">
        <v>13</v>
      </c>
      <c r="C143" s="13">
        <v>2309220602</v>
      </c>
      <c r="D143" s="4" t="s">
        <v>460</v>
      </c>
      <c r="E143" s="111">
        <v>44397</v>
      </c>
      <c r="F143" s="1" t="s">
        <v>454</v>
      </c>
      <c r="G143" s="4" t="s">
        <v>461</v>
      </c>
      <c r="H143" s="4"/>
      <c r="I143" s="40"/>
      <c r="J143" s="65"/>
      <c r="K143" s="46"/>
      <c r="L143" s="46">
        <v>18929</v>
      </c>
      <c r="M143" s="30" t="s">
        <v>129</v>
      </c>
      <c r="N143" s="140"/>
    </row>
    <row r="144" spans="2:14" ht="75" x14ac:dyDescent="0.25">
      <c r="B144" s="6" t="s">
        <v>470</v>
      </c>
      <c r="C144" s="13" t="s">
        <v>471</v>
      </c>
      <c r="D144" s="4" t="s">
        <v>472</v>
      </c>
      <c r="E144" s="111">
        <v>44445</v>
      </c>
      <c r="F144" s="1" t="s">
        <v>477</v>
      </c>
      <c r="G144" s="4" t="s">
        <v>473</v>
      </c>
      <c r="H144" s="4"/>
      <c r="I144" s="40"/>
      <c r="J144" s="65"/>
      <c r="K144" s="46"/>
      <c r="L144" s="11">
        <v>16032</v>
      </c>
      <c r="M144" s="30" t="s">
        <v>130</v>
      </c>
      <c r="N144" s="140"/>
    </row>
    <row r="145" spans="2:14" ht="183" x14ac:dyDescent="0.25">
      <c r="B145" s="6" t="s">
        <v>474</v>
      </c>
      <c r="C145" s="13" t="s">
        <v>475</v>
      </c>
      <c r="D145" s="4" t="s">
        <v>476</v>
      </c>
      <c r="E145" s="111">
        <v>44467</v>
      </c>
      <c r="F145" s="1" t="s">
        <v>477</v>
      </c>
      <c r="G145" s="4" t="s">
        <v>478</v>
      </c>
      <c r="H145" s="4"/>
      <c r="I145" s="40"/>
      <c r="J145" s="65"/>
      <c r="K145" s="46"/>
      <c r="L145" s="45">
        <v>4275.2</v>
      </c>
      <c r="M145" s="30" t="s">
        <v>130</v>
      </c>
      <c r="N145" s="140"/>
    </row>
    <row r="146" spans="2:14" ht="75" x14ac:dyDescent="0.25">
      <c r="B146" s="6" t="s">
        <v>394</v>
      </c>
      <c r="C146" s="13" t="s">
        <v>143</v>
      </c>
      <c r="D146" s="4" t="s">
        <v>485</v>
      </c>
      <c r="E146" s="111" t="s">
        <v>590</v>
      </c>
      <c r="F146" s="1" t="s">
        <v>589</v>
      </c>
      <c r="G146" s="109" t="s">
        <v>578</v>
      </c>
      <c r="H146" s="109"/>
      <c r="I146" s="93"/>
      <c r="J146" s="73"/>
      <c r="K146" s="51"/>
      <c r="L146" s="51">
        <f>9084.8+9084.8+9084.8+9084.8+54508.8+7481.6</f>
        <v>98329.600000000006</v>
      </c>
      <c r="M146" s="30" t="s">
        <v>130</v>
      </c>
      <c r="N146" s="140"/>
    </row>
    <row r="147" spans="2:14" ht="60" x14ac:dyDescent="0.25">
      <c r="B147" s="6" t="s">
        <v>7</v>
      </c>
      <c r="C147" s="94">
        <v>3049560166</v>
      </c>
      <c r="D147" s="95" t="s">
        <v>486</v>
      </c>
      <c r="E147" s="29">
        <v>44487</v>
      </c>
      <c r="F147" s="96" t="s">
        <v>487</v>
      </c>
      <c r="G147" s="97">
        <v>3000</v>
      </c>
      <c r="H147" s="32"/>
      <c r="I147" s="102"/>
      <c r="J147" s="73"/>
      <c r="K147" s="51"/>
      <c r="L147" s="11"/>
      <c r="M147" s="30" t="s">
        <v>130</v>
      </c>
      <c r="N147" s="140"/>
    </row>
    <row r="148" spans="2:14" ht="60" x14ac:dyDescent="0.25">
      <c r="B148" s="6" t="s">
        <v>430</v>
      </c>
      <c r="C148" s="12" t="s">
        <v>431</v>
      </c>
      <c r="D148" s="4" t="s">
        <v>488</v>
      </c>
      <c r="E148" s="3">
        <v>44490</v>
      </c>
      <c r="F148" s="40" t="s">
        <v>433</v>
      </c>
      <c r="G148" s="4" t="s">
        <v>489</v>
      </c>
      <c r="H148" s="36"/>
      <c r="I148" s="87"/>
      <c r="J148" s="67"/>
      <c r="K148" s="47"/>
      <c r="L148" s="47">
        <f>4382.19+4541.19+4997.95+6863.51</f>
        <v>20784.839999999997</v>
      </c>
      <c r="M148" s="30" t="s">
        <v>130</v>
      </c>
      <c r="N148" s="140"/>
    </row>
    <row r="149" spans="2:14" x14ac:dyDescent="0.25">
      <c r="B149" s="6" t="s">
        <v>196</v>
      </c>
      <c r="C149" s="21" t="s">
        <v>197</v>
      </c>
      <c r="D149" s="23" t="s">
        <v>198</v>
      </c>
      <c r="E149" s="26">
        <v>44494</v>
      </c>
      <c r="F149" s="56" t="s">
        <v>620</v>
      </c>
      <c r="G149" s="97" t="s">
        <v>621</v>
      </c>
      <c r="H149" s="11"/>
      <c r="I149" s="104"/>
      <c r="J149" s="73"/>
      <c r="K149" s="45"/>
      <c r="L149" s="11">
        <f>3750.02+3749.98</f>
        <v>7500</v>
      </c>
      <c r="M149" s="30" t="s">
        <v>130</v>
      </c>
      <c r="N149" s="140"/>
    </row>
    <row r="150" spans="2:14" ht="90" x14ac:dyDescent="0.25">
      <c r="B150" s="6" t="s">
        <v>406</v>
      </c>
      <c r="C150" s="12">
        <v>12866070159</v>
      </c>
      <c r="D150" s="4" t="s">
        <v>496</v>
      </c>
      <c r="E150" s="26">
        <v>44523</v>
      </c>
      <c r="F150" s="96" t="s">
        <v>497</v>
      </c>
      <c r="G150" s="4" t="s">
        <v>498</v>
      </c>
      <c r="H150" s="11"/>
      <c r="I150" s="104"/>
      <c r="J150" s="73"/>
      <c r="K150" s="45"/>
      <c r="L150" s="11">
        <f>392.93+3274.64+4142.03+3952.13+4437.33+3760.37+4438.76+4275.37+4268.76+2837.72+4468.72+4052.61+4528.36+2209.48</f>
        <v>51039.210000000006</v>
      </c>
      <c r="M150" s="30" t="s">
        <v>130</v>
      </c>
      <c r="N150" s="140"/>
    </row>
    <row r="151" spans="2:14" ht="30" x14ac:dyDescent="0.25">
      <c r="B151" s="6" t="s">
        <v>204</v>
      </c>
      <c r="C151" s="12">
        <v>1850570746</v>
      </c>
      <c r="D151" s="4" t="s">
        <v>205</v>
      </c>
      <c r="E151" s="26">
        <v>44544</v>
      </c>
      <c r="F151" s="10" t="s">
        <v>493</v>
      </c>
      <c r="G151" s="58" t="s">
        <v>492</v>
      </c>
      <c r="H151" s="58"/>
      <c r="I151" s="107"/>
      <c r="J151" s="73"/>
      <c r="K151" s="45"/>
      <c r="L151" s="24">
        <f>8550+8550</f>
        <v>17100</v>
      </c>
      <c r="M151" s="1" t="s">
        <v>130</v>
      </c>
      <c r="N151" s="140"/>
    </row>
    <row r="152" spans="2:14" ht="90" x14ac:dyDescent="0.25">
      <c r="B152" s="6" t="s">
        <v>474</v>
      </c>
      <c r="C152" s="13" t="s">
        <v>475</v>
      </c>
      <c r="D152" s="4" t="s">
        <v>494</v>
      </c>
      <c r="E152" s="111">
        <v>44566</v>
      </c>
      <c r="F152" s="4" t="s">
        <v>495</v>
      </c>
      <c r="G152" s="4" t="s">
        <v>502</v>
      </c>
      <c r="H152" s="58"/>
      <c r="I152" s="107"/>
      <c r="J152" s="73"/>
      <c r="K152" s="45"/>
      <c r="L152" s="24">
        <v>3072.8</v>
      </c>
      <c r="M152" s="30" t="s">
        <v>130</v>
      </c>
      <c r="N152" s="140"/>
    </row>
    <row r="153" spans="2:14" ht="60" x14ac:dyDescent="0.25">
      <c r="B153" s="6" t="s">
        <v>507</v>
      </c>
      <c r="C153" s="21" t="s">
        <v>508</v>
      </c>
      <c r="D153" s="4" t="s">
        <v>1046</v>
      </c>
      <c r="E153" s="10">
        <v>44578</v>
      </c>
      <c r="F153" s="10" t="s">
        <v>509</v>
      </c>
      <c r="G153" s="59" t="s">
        <v>510</v>
      </c>
      <c r="H153" s="59"/>
      <c r="I153" s="104"/>
      <c r="J153" s="45"/>
      <c r="K153" s="45">
        <f>1351.88+1267.27</f>
        <v>2619.15</v>
      </c>
      <c r="L153" s="11">
        <f>270+3421.04+1568.38+1931.7+2006.79+1746.18+1372.3+1317.88+1286.28+1528.93+1402.16+1351.88+1267.27</f>
        <v>20470.79</v>
      </c>
      <c r="M153" s="30" t="s">
        <v>129</v>
      </c>
      <c r="N153" s="140"/>
    </row>
    <row r="154" spans="2:14" ht="75" x14ac:dyDescent="0.25">
      <c r="B154" s="6" t="s">
        <v>389</v>
      </c>
      <c r="C154" s="21" t="s">
        <v>390</v>
      </c>
      <c r="D154" s="4" t="s">
        <v>518</v>
      </c>
      <c r="E154" s="26">
        <v>44586</v>
      </c>
      <c r="F154" s="10" t="s">
        <v>500</v>
      </c>
      <c r="G154" s="4" t="s">
        <v>501</v>
      </c>
      <c r="H154" s="36"/>
      <c r="I154" s="87"/>
      <c r="J154" s="67"/>
      <c r="K154" s="47"/>
      <c r="L154" s="11">
        <v>2654.9</v>
      </c>
      <c r="M154" s="30" t="s">
        <v>130</v>
      </c>
      <c r="N154" s="140"/>
    </row>
    <row r="155" spans="2:14" ht="75" x14ac:dyDescent="0.25">
      <c r="B155" s="6" t="s">
        <v>474</v>
      </c>
      <c r="C155" s="13" t="s">
        <v>475</v>
      </c>
      <c r="D155" s="4" t="s">
        <v>503</v>
      </c>
      <c r="E155" s="111">
        <v>44531</v>
      </c>
      <c r="F155" s="4" t="s">
        <v>495</v>
      </c>
      <c r="G155" s="5" t="s">
        <v>517</v>
      </c>
      <c r="H155" s="58"/>
      <c r="I155" s="107"/>
      <c r="J155" s="73"/>
      <c r="K155" s="45"/>
      <c r="L155" s="45">
        <v>8235.1</v>
      </c>
      <c r="M155" s="30" t="s">
        <v>130</v>
      </c>
      <c r="N155" s="140"/>
    </row>
    <row r="156" spans="2:14" ht="210" x14ac:dyDescent="0.25">
      <c r="B156" s="6" t="s">
        <v>219</v>
      </c>
      <c r="C156" s="21" t="s">
        <v>511</v>
      </c>
      <c r="D156" s="5" t="s">
        <v>512</v>
      </c>
      <c r="E156" s="10">
        <v>44592</v>
      </c>
      <c r="F156" s="40" t="s">
        <v>513</v>
      </c>
      <c r="G156" s="5" t="s">
        <v>514</v>
      </c>
      <c r="H156" s="58"/>
      <c r="I156" s="40"/>
      <c r="J156" s="73"/>
      <c r="K156" s="45"/>
      <c r="L156" s="11">
        <f>7200+3500+14400+2400+7760+2200+1070+3770+15520+2590+2300+8225+1145+3995+16430+465+7420+1150</f>
        <v>101540</v>
      </c>
      <c r="M156" s="30" t="s">
        <v>130</v>
      </c>
      <c r="N156" s="140"/>
    </row>
    <row r="157" spans="2:14" ht="30" x14ac:dyDescent="0.25">
      <c r="B157" s="6" t="s">
        <v>192</v>
      </c>
      <c r="C157" s="21" t="s">
        <v>152</v>
      </c>
      <c r="D157" s="4" t="s">
        <v>515</v>
      </c>
      <c r="E157" s="10">
        <v>44594</v>
      </c>
      <c r="F157" s="40" t="s">
        <v>516</v>
      </c>
      <c r="G157" s="32">
        <v>20000</v>
      </c>
      <c r="H157" s="32"/>
      <c r="I157" s="102"/>
      <c r="J157" s="73"/>
      <c r="K157" s="51"/>
      <c r="L157" s="11">
        <f>5000+5000+5000+5000</f>
        <v>20000</v>
      </c>
      <c r="M157" s="30" t="s">
        <v>130</v>
      </c>
      <c r="N157" s="140"/>
    </row>
    <row r="158" spans="2:14" ht="30" x14ac:dyDescent="0.25">
      <c r="B158" s="6" t="s">
        <v>384</v>
      </c>
      <c r="C158" s="21" t="s">
        <v>519</v>
      </c>
      <c r="D158" s="4" t="s">
        <v>36</v>
      </c>
      <c r="E158" s="3">
        <v>44592</v>
      </c>
      <c r="F158" s="3" t="s">
        <v>739</v>
      </c>
      <c r="G158" s="4" t="s">
        <v>29</v>
      </c>
      <c r="H158" s="61"/>
      <c r="I158" s="93"/>
      <c r="J158" s="73"/>
      <c r="K158" s="51"/>
      <c r="L158" s="51">
        <f>5759+5759</f>
        <v>11518</v>
      </c>
      <c r="M158" s="30" t="s">
        <v>130</v>
      </c>
      <c r="N158" s="140"/>
    </row>
    <row r="159" spans="2:14" ht="60" x14ac:dyDescent="0.25">
      <c r="B159" s="6" t="s">
        <v>474</v>
      </c>
      <c r="C159" s="13" t="s">
        <v>475</v>
      </c>
      <c r="D159" s="4" t="s">
        <v>520</v>
      </c>
      <c r="E159" s="111">
        <v>44608</v>
      </c>
      <c r="F159" s="4" t="s">
        <v>521</v>
      </c>
      <c r="G159" s="5" t="s">
        <v>522</v>
      </c>
      <c r="H159" s="58"/>
      <c r="I159" s="107"/>
      <c r="J159" s="73"/>
      <c r="K159" s="45"/>
      <c r="L159" s="45">
        <v>4916.4799999999996</v>
      </c>
      <c r="M159" s="30" t="s">
        <v>130</v>
      </c>
      <c r="N159" s="140"/>
    </row>
    <row r="160" spans="2:14" ht="75" x14ac:dyDescent="0.25">
      <c r="B160" s="6" t="s">
        <v>994</v>
      </c>
      <c r="C160" s="21" t="s">
        <v>453</v>
      </c>
      <c r="D160" s="4" t="s">
        <v>523</v>
      </c>
      <c r="E160" s="129">
        <v>44622</v>
      </c>
      <c r="F160" s="111" t="s">
        <v>524</v>
      </c>
      <c r="G160" s="130" t="s">
        <v>525</v>
      </c>
      <c r="H160" s="4"/>
      <c r="I160" s="40"/>
      <c r="J160" s="65"/>
      <c r="K160" s="46"/>
      <c r="L160" s="46">
        <v>1229.1199999999999</v>
      </c>
      <c r="M160" s="30" t="s">
        <v>130</v>
      </c>
      <c r="N160" s="140"/>
    </row>
    <row r="161" spans="2:14" ht="45" x14ac:dyDescent="0.25">
      <c r="B161" s="6" t="s">
        <v>526</v>
      </c>
      <c r="C161" s="21" t="s">
        <v>527</v>
      </c>
      <c r="D161" s="4" t="s">
        <v>528</v>
      </c>
      <c r="E161" s="169" t="s">
        <v>835</v>
      </c>
      <c r="F161" s="111" t="s">
        <v>836</v>
      </c>
      <c r="G161" s="134">
        <v>43320</v>
      </c>
      <c r="H161" s="4"/>
      <c r="I161" s="40"/>
      <c r="J161" s="65"/>
      <c r="K161" s="11"/>
      <c r="L161" s="11">
        <f>1805+1805+1805+1805+1805+1805+1805+1805+1805+1805+1805+1805+1805+24.5+1805+1805+1805+1805+1805+1805+1805+1805+1805+1805+1805+1805+1805</f>
        <v>46954.5</v>
      </c>
      <c r="M161" s="30" t="s">
        <v>130</v>
      </c>
      <c r="N161" s="140"/>
    </row>
    <row r="162" spans="2:14" ht="45" x14ac:dyDescent="0.25">
      <c r="B162" s="6" t="s">
        <v>529</v>
      </c>
      <c r="C162" s="21" t="s">
        <v>530</v>
      </c>
      <c r="D162" s="4" t="s">
        <v>531</v>
      </c>
      <c r="E162" s="129">
        <v>44630</v>
      </c>
      <c r="F162" s="111" t="s">
        <v>176</v>
      </c>
      <c r="G162" s="134">
        <v>60000</v>
      </c>
      <c r="H162" s="4"/>
      <c r="I162" s="40"/>
      <c r="J162" s="65"/>
      <c r="K162" s="46"/>
      <c r="L162" s="11">
        <f>7800+7800+7800</f>
        <v>23400</v>
      </c>
      <c r="M162" s="30" t="s">
        <v>129</v>
      </c>
      <c r="N162" s="140"/>
    </row>
    <row r="163" spans="2:14" ht="75" x14ac:dyDescent="0.25">
      <c r="B163" s="6" t="s">
        <v>376</v>
      </c>
      <c r="C163" s="21" t="s">
        <v>380</v>
      </c>
      <c r="D163" s="4" t="s">
        <v>532</v>
      </c>
      <c r="E163" s="29">
        <v>44641</v>
      </c>
      <c r="F163" s="40" t="s">
        <v>533</v>
      </c>
      <c r="G163" s="92" t="s">
        <v>534</v>
      </c>
      <c r="H163" s="61"/>
      <c r="I163" s="93"/>
      <c r="J163" s="73"/>
      <c r="K163" s="51"/>
      <c r="L163" s="57">
        <f>522+2082.08</f>
        <v>2604.08</v>
      </c>
      <c r="M163" s="30" t="s">
        <v>130</v>
      </c>
      <c r="N163" s="140"/>
    </row>
    <row r="164" spans="2:14" ht="135" x14ac:dyDescent="0.25">
      <c r="B164" s="6" t="s">
        <v>155</v>
      </c>
      <c r="C164" s="21">
        <v>7931520964</v>
      </c>
      <c r="D164" s="4" t="s">
        <v>156</v>
      </c>
      <c r="E164" s="40" t="s">
        <v>737</v>
      </c>
      <c r="F164" s="10" t="s">
        <v>535</v>
      </c>
      <c r="G164" s="33" t="s">
        <v>738</v>
      </c>
      <c r="H164" s="33"/>
      <c r="I164" s="104"/>
      <c r="J164" s="73"/>
      <c r="K164" s="51"/>
      <c r="L164" s="51">
        <f>1397+1510+1482.5+1500.5+1549.5+1454+1436+1378+1689.5+1490+1511+1290.71+878+980+702+410+428+419+356+347+347+338+640</f>
        <v>23533.71</v>
      </c>
      <c r="M164" s="1" t="s">
        <v>129</v>
      </c>
      <c r="N164" s="140"/>
    </row>
    <row r="165" spans="2:14" ht="45" x14ac:dyDescent="0.25">
      <c r="B165" s="6" t="s">
        <v>536</v>
      </c>
      <c r="C165" s="21" t="s">
        <v>537</v>
      </c>
      <c r="D165" s="4" t="s">
        <v>538</v>
      </c>
      <c r="E165" s="10">
        <v>44677</v>
      </c>
      <c r="F165" s="40" t="s">
        <v>539</v>
      </c>
      <c r="G165" s="134">
        <v>15000</v>
      </c>
      <c r="H165" s="33"/>
      <c r="I165" s="104"/>
      <c r="J165" s="73"/>
      <c r="K165" s="45"/>
      <c r="L165" s="51">
        <v>16032</v>
      </c>
      <c r="M165" s="1" t="s">
        <v>130</v>
      </c>
      <c r="N165" s="140"/>
    </row>
    <row r="166" spans="2:14" ht="45" x14ac:dyDescent="0.25">
      <c r="B166" s="6" t="s">
        <v>773</v>
      </c>
      <c r="C166" s="21" t="s">
        <v>699</v>
      </c>
      <c r="D166" s="4" t="s">
        <v>540</v>
      </c>
      <c r="E166" s="29">
        <v>44677</v>
      </c>
      <c r="F166" s="40" t="s">
        <v>548</v>
      </c>
      <c r="G166" s="92" t="s">
        <v>541</v>
      </c>
      <c r="H166" s="61"/>
      <c r="I166" s="93"/>
      <c r="J166" s="73"/>
      <c r="K166" s="51"/>
      <c r="L166" s="51">
        <f>3687.36+3687.36</f>
        <v>7374.72</v>
      </c>
      <c r="M166" s="30" t="s">
        <v>130</v>
      </c>
      <c r="N166" s="140"/>
    </row>
    <row r="167" spans="2:14" ht="105" x14ac:dyDescent="0.25">
      <c r="B167" s="6" t="s">
        <v>474</v>
      </c>
      <c r="C167" s="13" t="s">
        <v>475</v>
      </c>
      <c r="D167" s="4" t="s">
        <v>542</v>
      </c>
      <c r="E167" s="111">
        <v>44680</v>
      </c>
      <c r="F167" s="40" t="s">
        <v>543</v>
      </c>
      <c r="G167" s="5" t="s">
        <v>544</v>
      </c>
      <c r="H167" s="58"/>
      <c r="I167" s="107"/>
      <c r="J167" s="73"/>
      <c r="K167" s="45"/>
      <c r="L167" s="45"/>
      <c r="M167" s="30" t="s">
        <v>129</v>
      </c>
      <c r="N167" s="140"/>
    </row>
    <row r="168" spans="2:14" ht="45" x14ac:dyDescent="0.25">
      <c r="B168" s="6" t="s">
        <v>773</v>
      </c>
      <c r="C168" s="21" t="s">
        <v>699</v>
      </c>
      <c r="D168" s="4" t="s">
        <v>545</v>
      </c>
      <c r="E168" s="29">
        <v>44700</v>
      </c>
      <c r="F168" s="40" t="s">
        <v>548</v>
      </c>
      <c r="G168" s="92" t="s">
        <v>547</v>
      </c>
      <c r="H168" s="61"/>
      <c r="I168" s="93"/>
      <c r="J168" s="73"/>
      <c r="K168" s="51"/>
      <c r="L168" s="51">
        <v>25070.12</v>
      </c>
      <c r="M168" s="30" t="s">
        <v>130</v>
      </c>
      <c r="N168" s="140"/>
    </row>
    <row r="169" spans="2:14" ht="105" x14ac:dyDescent="0.25">
      <c r="B169" s="6" t="s">
        <v>314</v>
      </c>
      <c r="C169" s="21" t="s">
        <v>315</v>
      </c>
      <c r="D169" s="4" t="s">
        <v>568</v>
      </c>
      <c r="E169" s="29">
        <v>44718</v>
      </c>
      <c r="F169" s="40" t="s">
        <v>548</v>
      </c>
      <c r="G169" s="92" t="s">
        <v>552</v>
      </c>
      <c r="H169" s="61"/>
      <c r="I169" s="93"/>
      <c r="J169" s="73"/>
      <c r="K169" s="51"/>
      <c r="L169" s="51">
        <f>3206.4+1603.2</f>
        <v>4809.6000000000004</v>
      </c>
      <c r="M169" s="30" t="s">
        <v>130</v>
      </c>
      <c r="N169" s="140"/>
    </row>
    <row r="170" spans="2:14" ht="90" x14ac:dyDescent="0.25">
      <c r="B170" s="6" t="s">
        <v>553</v>
      </c>
      <c r="C170" s="21" t="s">
        <v>554</v>
      </c>
      <c r="D170" s="4" t="s">
        <v>555</v>
      </c>
      <c r="E170" s="29">
        <v>44721</v>
      </c>
      <c r="F170" s="40" t="s">
        <v>556</v>
      </c>
      <c r="G170" s="92" t="s">
        <v>557</v>
      </c>
      <c r="H170" s="61"/>
      <c r="I170" s="93"/>
      <c r="J170" s="73"/>
      <c r="K170" s="51"/>
      <c r="L170" s="51">
        <f>15781.39+15835.69</f>
        <v>31617.08</v>
      </c>
      <c r="M170" s="30" t="s">
        <v>130</v>
      </c>
      <c r="N170" s="140"/>
    </row>
    <row r="171" spans="2:14" ht="60" x14ac:dyDescent="0.25">
      <c r="B171" s="6" t="s">
        <v>13</v>
      </c>
      <c r="C171" s="13">
        <v>2309220602</v>
      </c>
      <c r="D171" s="4" t="s">
        <v>559</v>
      </c>
      <c r="E171" s="29">
        <v>44722</v>
      </c>
      <c r="F171" s="40" t="s">
        <v>560</v>
      </c>
      <c r="G171" s="92" t="s">
        <v>561</v>
      </c>
      <c r="H171" s="61"/>
      <c r="I171" s="93"/>
      <c r="J171" s="73"/>
      <c r="K171" s="51"/>
      <c r="L171" s="57">
        <f>1020+3606.03</f>
        <v>4626.0300000000007</v>
      </c>
      <c r="M171" s="30" t="s">
        <v>130</v>
      </c>
      <c r="N171" s="140"/>
    </row>
    <row r="172" spans="2:14" ht="75" x14ac:dyDescent="0.25">
      <c r="B172" s="6" t="s">
        <v>470</v>
      </c>
      <c r="C172" s="13" t="s">
        <v>471</v>
      </c>
      <c r="D172" s="4" t="s">
        <v>562</v>
      </c>
      <c r="E172" s="29">
        <v>44722</v>
      </c>
      <c r="F172" s="40" t="s">
        <v>563</v>
      </c>
      <c r="G172" s="92" t="s">
        <v>564</v>
      </c>
      <c r="H172" s="61"/>
      <c r="I172" s="93"/>
      <c r="J172" s="73"/>
      <c r="K172" s="51"/>
      <c r="L172" s="57">
        <v>5344</v>
      </c>
      <c r="M172" s="30" t="s">
        <v>130</v>
      </c>
      <c r="N172" s="140"/>
    </row>
    <row r="173" spans="2:14" ht="30" x14ac:dyDescent="0.25">
      <c r="B173" s="6" t="s">
        <v>565</v>
      </c>
      <c r="C173" s="13" t="s">
        <v>566</v>
      </c>
      <c r="D173" s="4" t="s">
        <v>567</v>
      </c>
      <c r="E173" s="29">
        <v>44722</v>
      </c>
      <c r="F173" s="40"/>
      <c r="G173" s="92">
        <v>21094.400000000001</v>
      </c>
      <c r="H173" s="61"/>
      <c r="I173" s="93"/>
      <c r="J173" s="73"/>
      <c r="K173" s="51"/>
      <c r="L173" s="57">
        <v>21094.400000000001</v>
      </c>
      <c r="M173" s="30" t="s">
        <v>130</v>
      </c>
      <c r="N173" s="140"/>
    </row>
    <row r="174" spans="2:14" ht="45" x14ac:dyDescent="0.25">
      <c r="B174" s="6" t="s">
        <v>553</v>
      </c>
      <c r="C174" s="21" t="s">
        <v>554</v>
      </c>
      <c r="D174" s="4" t="s">
        <v>570</v>
      </c>
      <c r="E174" s="29">
        <v>44740</v>
      </c>
      <c r="F174" s="40" t="s">
        <v>571</v>
      </c>
      <c r="G174" s="92" t="s">
        <v>572</v>
      </c>
      <c r="H174" s="61"/>
      <c r="I174" s="93"/>
      <c r="J174" s="73"/>
      <c r="K174" s="51"/>
      <c r="L174" s="51">
        <f>4623.26-8.8</f>
        <v>4614.46</v>
      </c>
      <c r="M174" s="30" t="s">
        <v>130</v>
      </c>
      <c r="N174" s="140"/>
    </row>
    <row r="175" spans="2:14" ht="60" x14ac:dyDescent="0.25">
      <c r="B175" s="6" t="s">
        <v>573</v>
      </c>
      <c r="C175" s="21" t="s">
        <v>574</v>
      </c>
      <c r="D175" s="4" t="s">
        <v>575</v>
      </c>
      <c r="E175" s="29">
        <v>44747</v>
      </c>
      <c r="F175" s="40" t="s">
        <v>576</v>
      </c>
      <c r="G175" s="92" t="s">
        <v>577</v>
      </c>
      <c r="H175" s="61"/>
      <c r="I175" s="93"/>
      <c r="J175" s="73"/>
      <c r="K175" s="51"/>
      <c r="L175" s="57"/>
      <c r="M175" s="30" t="s">
        <v>129</v>
      </c>
      <c r="N175" s="140"/>
    </row>
    <row r="176" spans="2:14" ht="30" x14ac:dyDescent="0.25">
      <c r="B176" s="6" t="s">
        <v>192</v>
      </c>
      <c r="C176" s="21" t="s">
        <v>152</v>
      </c>
      <c r="D176" s="4" t="s">
        <v>579</v>
      </c>
      <c r="E176" s="10">
        <v>44754</v>
      </c>
      <c r="F176" s="40" t="s">
        <v>580</v>
      </c>
      <c r="G176" s="32">
        <v>7500</v>
      </c>
      <c r="H176" s="32"/>
      <c r="I176" s="102"/>
      <c r="J176" s="73"/>
      <c r="K176" s="51"/>
      <c r="L176" s="11">
        <v>7500</v>
      </c>
      <c r="M176" s="30" t="s">
        <v>130</v>
      </c>
      <c r="N176" s="140"/>
    </row>
    <row r="177" spans="2:14" ht="90" x14ac:dyDescent="0.25">
      <c r="B177" s="6" t="s">
        <v>581</v>
      </c>
      <c r="C177" s="21" t="s">
        <v>582</v>
      </c>
      <c r="D177" s="4" t="s">
        <v>583</v>
      </c>
      <c r="E177" s="10">
        <v>44761</v>
      </c>
      <c r="F177" s="40" t="s">
        <v>584</v>
      </c>
      <c r="G177" s="109" t="s">
        <v>585</v>
      </c>
      <c r="H177" s="109"/>
      <c r="I177" s="93"/>
      <c r="J177" s="73"/>
      <c r="K177" s="51"/>
      <c r="L177" s="11">
        <f>5500+5500+5500+5500+5500+5500+5500+5500+5500+5500+5500+5500+5500+5500+5500+5500+5500</f>
        <v>93500</v>
      </c>
      <c r="M177" s="30" t="s">
        <v>130</v>
      </c>
      <c r="N177" s="140"/>
    </row>
    <row r="178" spans="2:14" ht="105" x14ac:dyDescent="0.25">
      <c r="B178" s="6" t="s">
        <v>474</v>
      </c>
      <c r="C178" s="13" t="s">
        <v>475</v>
      </c>
      <c r="D178" s="4" t="s">
        <v>586</v>
      </c>
      <c r="E178" s="111">
        <v>44769</v>
      </c>
      <c r="F178" s="40" t="s">
        <v>587</v>
      </c>
      <c r="G178" s="98" t="s">
        <v>588</v>
      </c>
      <c r="H178" s="32"/>
      <c r="I178" s="102"/>
      <c r="J178" s="73"/>
      <c r="K178" s="51"/>
      <c r="L178" s="51">
        <v>3687.36</v>
      </c>
      <c r="M178" s="30" t="s">
        <v>130</v>
      </c>
      <c r="N178" s="140"/>
    </row>
    <row r="179" spans="2:14" ht="75" x14ac:dyDescent="0.25">
      <c r="B179" s="6" t="s">
        <v>773</v>
      </c>
      <c r="C179" s="21" t="s">
        <v>699</v>
      </c>
      <c r="D179" s="4" t="s">
        <v>598</v>
      </c>
      <c r="E179" s="29">
        <v>44809</v>
      </c>
      <c r="F179" s="40" t="s">
        <v>599</v>
      </c>
      <c r="G179" s="92" t="s">
        <v>600</v>
      </c>
      <c r="H179" s="138"/>
      <c r="I179" s="154"/>
      <c r="J179" s="67"/>
      <c r="K179" s="139"/>
      <c r="L179" s="139">
        <f>6145.6+6760.16</f>
        <v>12905.76</v>
      </c>
      <c r="M179" s="30" t="s">
        <v>130</v>
      </c>
      <c r="N179" s="140"/>
    </row>
    <row r="180" spans="2:14" ht="45" x14ac:dyDescent="0.25">
      <c r="B180" s="6" t="s">
        <v>134</v>
      </c>
      <c r="C180" s="85" t="s">
        <v>135</v>
      </c>
      <c r="D180" s="4" t="s">
        <v>365</v>
      </c>
      <c r="E180" s="135">
        <v>44827</v>
      </c>
      <c r="F180" s="115" t="s">
        <v>601</v>
      </c>
      <c r="G180" s="109" t="s">
        <v>602</v>
      </c>
      <c r="H180" s="4"/>
      <c r="I180" s="10"/>
      <c r="J180" s="62"/>
      <c r="K180" s="24"/>
      <c r="L180" s="24">
        <f>2831.6+1741.78-115+3473.82+3133.25+2413.19+3240.29+2997.02+3580.86+2354.8+3561.4+126.5+3580.86+3240.29+2053.16+1683.39</f>
        <v>39897.210000000006</v>
      </c>
      <c r="M180" s="30" t="s">
        <v>130</v>
      </c>
      <c r="N180" s="140"/>
    </row>
    <row r="181" spans="2:14" ht="45" x14ac:dyDescent="0.25">
      <c r="B181" s="6" t="s">
        <v>13</v>
      </c>
      <c r="C181" s="13">
        <v>2309220602</v>
      </c>
      <c r="D181" s="4" t="s">
        <v>603</v>
      </c>
      <c r="E181" s="29">
        <v>44838</v>
      </c>
      <c r="F181" s="115" t="s">
        <v>605</v>
      </c>
      <c r="G181" s="92" t="s">
        <v>604</v>
      </c>
      <c r="H181" s="61"/>
      <c r="I181" s="93"/>
      <c r="J181" s="73"/>
      <c r="K181" s="51"/>
      <c r="L181" s="51">
        <v>15757</v>
      </c>
      <c r="M181" s="30" t="s">
        <v>129</v>
      </c>
      <c r="N181" s="140"/>
    </row>
    <row r="182" spans="2:14" ht="120" x14ac:dyDescent="0.25">
      <c r="B182" s="6" t="s">
        <v>449</v>
      </c>
      <c r="C182" s="21" t="s">
        <v>450</v>
      </c>
      <c r="D182" s="4" t="s">
        <v>608</v>
      </c>
      <c r="E182" s="3">
        <v>44868</v>
      </c>
      <c r="F182" s="115" t="s">
        <v>606</v>
      </c>
      <c r="G182" s="4" t="s">
        <v>607</v>
      </c>
      <c r="H182" s="4"/>
      <c r="I182" s="40"/>
      <c r="J182" s="65"/>
      <c r="K182" s="46"/>
      <c r="L182" s="46">
        <f>7481.6+11222.4+11222.4+3740.8+11222.4+3740.8+3740.8+3740.8+11222.4+5267.75+4089.78</f>
        <v>76691.930000000008</v>
      </c>
      <c r="M182" s="1" t="s">
        <v>130</v>
      </c>
      <c r="N182" s="140"/>
    </row>
    <row r="183" spans="2:14" ht="105" x14ac:dyDescent="0.25">
      <c r="B183" s="6" t="s">
        <v>609</v>
      </c>
      <c r="C183" s="13" t="s">
        <v>610</v>
      </c>
      <c r="D183" s="4" t="s">
        <v>611</v>
      </c>
      <c r="E183" s="111">
        <v>44860</v>
      </c>
      <c r="F183" s="1" t="s">
        <v>613</v>
      </c>
      <c r="G183" s="4" t="s">
        <v>612</v>
      </c>
      <c r="H183" s="32"/>
      <c r="I183" s="102"/>
      <c r="J183" s="73"/>
      <c r="K183" s="51"/>
      <c r="L183" s="11">
        <v>5200</v>
      </c>
      <c r="M183" s="30" t="s">
        <v>130</v>
      </c>
      <c r="N183" s="140"/>
    </row>
    <row r="184" spans="2:14" ht="30" x14ac:dyDescent="0.25">
      <c r="B184" s="6" t="s">
        <v>614</v>
      </c>
      <c r="C184" s="13" t="s">
        <v>615</v>
      </c>
      <c r="D184" s="4" t="s">
        <v>616</v>
      </c>
      <c r="E184" s="111">
        <v>44872</v>
      </c>
      <c r="F184" s="1" t="s">
        <v>617</v>
      </c>
      <c r="G184" s="4" t="s">
        <v>618</v>
      </c>
      <c r="H184" s="32"/>
      <c r="I184" s="102"/>
      <c r="J184" s="73"/>
      <c r="K184" s="51"/>
      <c r="L184" s="11">
        <v>27000</v>
      </c>
      <c r="M184" s="30" t="s">
        <v>129</v>
      </c>
      <c r="N184" s="140"/>
    </row>
    <row r="185" spans="2:14" ht="75" x14ac:dyDescent="0.25">
      <c r="B185" s="6" t="s">
        <v>196</v>
      </c>
      <c r="C185" s="21" t="s">
        <v>197</v>
      </c>
      <c r="D185" s="23" t="s">
        <v>198</v>
      </c>
      <c r="E185" s="26">
        <v>44874</v>
      </c>
      <c r="F185" s="56" t="s">
        <v>619</v>
      </c>
      <c r="G185" s="97" t="s">
        <v>622</v>
      </c>
      <c r="H185" s="11"/>
      <c r="I185" s="104"/>
      <c r="J185" s="73"/>
      <c r="K185" s="45"/>
      <c r="L185" s="11">
        <f>3870.94+3991.89</f>
        <v>7862.83</v>
      </c>
      <c r="M185" s="30" t="s">
        <v>130</v>
      </c>
      <c r="N185" s="140"/>
    </row>
    <row r="186" spans="2:14" ht="60" x14ac:dyDescent="0.25">
      <c r="B186" s="6" t="s">
        <v>623</v>
      </c>
      <c r="C186" s="21" t="s">
        <v>624</v>
      </c>
      <c r="D186" s="4" t="s">
        <v>575</v>
      </c>
      <c r="E186" s="29">
        <v>44874</v>
      </c>
      <c r="F186" s="40" t="s">
        <v>576</v>
      </c>
      <c r="G186" s="92" t="s">
        <v>577</v>
      </c>
      <c r="H186" s="61"/>
      <c r="I186" s="93"/>
      <c r="J186" s="73"/>
      <c r="K186" s="51"/>
      <c r="L186" s="155">
        <v>209.3</v>
      </c>
      <c r="M186" s="30" t="s">
        <v>129</v>
      </c>
      <c r="N186" s="140"/>
    </row>
    <row r="187" spans="2:14" ht="90" x14ac:dyDescent="0.25">
      <c r="B187" s="6" t="s">
        <v>773</v>
      </c>
      <c r="C187" s="21" t="s">
        <v>699</v>
      </c>
      <c r="D187" s="4" t="s">
        <v>625</v>
      </c>
      <c r="E187" s="29">
        <v>44883</v>
      </c>
      <c r="F187" s="40" t="s">
        <v>626</v>
      </c>
      <c r="G187" s="92" t="s">
        <v>627</v>
      </c>
      <c r="H187" s="61"/>
      <c r="I187" s="93"/>
      <c r="J187" s="73"/>
      <c r="K187" s="51"/>
      <c r="L187" s="51">
        <v>2458.2399999999998</v>
      </c>
      <c r="M187" s="30" t="s">
        <v>130</v>
      </c>
      <c r="N187" s="140"/>
    </row>
    <row r="188" spans="2:14" ht="45" x14ac:dyDescent="0.25">
      <c r="B188" s="6" t="s">
        <v>628</v>
      </c>
      <c r="C188" s="21" t="s">
        <v>629</v>
      </c>
      <c r="D188" s="4" t="s">
        <v>630</v>
      </c>
      <c r="E188" s="26" t="s">
        <v>669</v>
      </c>
      <c r="F188" s="40" t="s">
        <v>670</v>
      </c>
      <c r="G188" s="92" t="s">
        <v>671</v>
      </c>
      <c r="H188" s="30"/>
      <c r="I188" s="93"/>
      <c r="J188" s="73"/>
      <c r="K188" s="51"/>
      <c r="L188" s="51">
        <f>1666+1666+1666+1666</f>
        <v>6664</v>
      </c>
      <c r="M188" s="30" t="s">
        <v>130</v>
      </c>
      <c r="N188" s="140"/>
    </row>
    <row r="189" spans="2:14" ht="90" x14ac:dyDescent="0.25">
      <c r="B189" s="6" t="s">
        <v>631</v>
      </c>
      <c r="C189" s="21" t="s">
        <v>632</v>
      </c>
      <c r="D189" s="4" t="s">
        <v>633</v>
      </c>
      <c r="E189" s="3">
        <v>44917</v>
      </c>
      <c r="F189" s="4" t="s">
        <v>634</v>
      </c>
      <c r="G189" s="4" t="s">
        <v>635</v>
      </c>
      <c r="H189" s="61"/>
      <c r="I189" s="93"/>
      <c r="J189" s="73"/>
      <c r="K189" s="51"/>
      <c r="L189" s="51">
        <v>1438.07</v>
      </c>
      <c r="M189" s="30" t="s">
        <v>130</v>
      </c>
      <c r="N189" s="140"/>
    </row>
    <row r="190" spans="2:14" ht="45" x14ac:dyDescent="0.25">
      <c r="B190" s="6" t="s">
        <v>110</v>
      </c>
      <c r="C190" s="13" t="s">
        <v>456</v>
      </c>
      <c r="D190" s="4" t="s">
        <v>457</v>
      </c>
      <c r="E190" s="3">
        <v>44917</v>
      </c>
      <c r="F190" s="4" t="s">
        <v>636</v>
      </c>
      <c r="G190" s="36" t="s">
        <v>637</v>
      </c>
      <c r="H190" s="138"/>
      <c r="I190" s="154"/>
      <c r="J190" s="67"/>
      <c r="K190" s="139"/>
      <c r="L190" s="139">
        <f>6650+6650+6650+6650+6650</f>
        <v>33250</v>
      </c>
      <c r="M190" s="30" t="s">
        <v>130</v>
      </c>
      <c r="N190" s="2" t="s">
        <v>932</v>
      </c>
    </row>
    <row r="191" spans="2:14" ht="105" x14ac:dyDescent="0.25">
      <c r="B191" s="6" t="s">
        <v>673</v>
      </c>
      <c r="C191" s="21">
        <f>4705.76+2637.69+2638.46+2636.07+2637.76+2637.29+2638.53+2638.43+2630.36263563</f>
        <v>25800.352635629999</v>
      </c>
      <c r="D191" s="4" t="s">
        <v>674</v>
      </c>
      <c r="E191" s="10" t="s">
        <v>806</v>
      </c>
      <c r="F191" s="40" t="s">
        <v>1054</v>
      </c>
      <c r="G191" s="92" t="s">
        <v>375</v>
      </c>
      <c r="H191" s="61"/>
      <c r="I191" s="93"/>
      <c r="J191" s="73"/>
      <c r="K191" s="51">
        <f>2636.15+2638.49+2636.07+2636.07</f>
        <v>10546.779999999999</v>
      </c>
      <c r="L191" s="57">
        <f>60658.64+4705.76+2637.69+2638.46+2636.07+2637.76+2637.29+2638.53+2638.43+2630.36+2635.63+2636.15+2638.49+2636.07+2636.07</f>
        <v>99641.400000000009</v>
      </c>
      <c r="M191" s="30" t="s">
        <v>129</v>
      </c>
      <c r="N191" s="140"/>
    </row>
    <row r="192" spans="2:14" ht="240" x14ac:dyDescent="0.25">
      <c r="B192" s="6" t="s">
        <v>638</v>
      </c>
      <c r="C192" s="12">
        <v>12079170150</v>
      </c>
      <c r="D192" s="4" t="s">
        <v>639</v>
      </c>
      <c r="E192" s="3">
        <v>44927</v>
      </c>
      <c r="F192" s="10" t="s">
        <v>640</v>
      </c>
      <c r="G192" s="4" t="s">
        <v>641</v>
      </c>
      <c r="H192" s="4"/>
      <c r="I192" s="40"/>
      <c r="J192" s="65"/>
      <c r="K192" s="48"/>
      <c r="L192" s="19"/>
      <c r="M192" s="30" t="s">
        <v>130</v>
      </c>
      <c r="N192" s="140"/>
    </row>
    <row r="193" spans="2:14" ht="195" x14ac:dyDescent="0.25">
      <c r="B193" s="6" t="s">
        <v>642</v>
      </c>
      <c r="C193" s="21" t="s">
        <v>643</v>
      </c>
      <c r="D193" s="4" t="s">
        <v>729</v>
      </c>
      <c r="E193" s="3">
        <v>44937</v>
      </c>
      <c r="F193" s="10" t="s">
        <v>644</v>
      </c>
      <c r="G193" s="4" t="s">
        <v>645</v>
      </c>
      <c r="H193" s="4"/>
      <c r="I193" s="40"/>
      <c r="J193" s="65"/>
      <c r="K193" s="139"/>
      <c r="L193" s="139">
        <v>6140.69</v>
      </c>
      <c r="M193" s="30" t="s">
        <v>130</v>
      </c>
      <c r="N193" s="140"/>
    </row>
    <row r="194" spans="2:14" ht="120" x14ac:dyDescent="0.25">
      <c r="B194" s="6" t="s">
        <v>646</v>
      </c>
      <c r="C194" s="21" t="s">
        <v>647</v>
      </c>
      <c r="D194" s="4" t="s">
        <v>648</v>
      </c>
      <c r="E194" s="3">
        <v>44937</v>
      </c>
      <c r="F194" s="10" t="s">
        <v>649</v>
      </c>
      <c r="G194" s="4" t="s">
        <v>650</v>
      </c>
      <c r="H194" s="4"/>
      <c r="I194" s="40"/>
      <c r="J194" s="65"/>
      <c r="K194" s="139"/>
      <c r="L194" s="139">
        <f>4916.48+2583.53</f>
        <v>7500.01</v>
      </c>
      <c r="M194" s="30" t="s">
        <v>130</v>
      </c>
      <c r="N194" s="140"/>
    </row>
    <row r="195" spans="2:14" ht="45" x14ac:dyDescent="0.25">
      <c r="B195" s="6" t="s">
        <v>651</v>
      </c>
      <c r="C195" s="21" t="s">
        <v>652</v>
      </c>
      <c r="D195" s="4" t="s">
        <v>653</v>
      </c>
      <c r="E195" s="3">
        <v>44848</v>
      </c>
      <c r="F195" s="10" t="s">
        <v>654</v>
      </c>
      <c r="G195" s="4" t="s">
        <v>655</v>
      </c>
      <c r="H195" s="4"/>
      <c r="I195" s="40"/>
      <c r="J195" s="65"/>
      <c r="K195" s="141"/>
      <c r="L195" s="141">
        <v>3712.8</v>
      </c>
      <c r="M195" s="30" t="s">
        <v>130</v>
      </c>
      <c r="N195" s="140"/>
    </row>
    <row r="196" spans="2:14" ht="75" x14ac:dyDescent="0.25">
      <c r="B196" s="6" t="s">
        <v>406</v>
      </c>
      <c r="C196" s="12">
        <v>12866070159</v>
      </c>
      <c r="D196" s="4" t="s">
        <v>656</v>
      </c>
      <c r="E196" s="26">
        <v>44641</v>
      </c>
      <c r="F196" s="40" t="s">
        <v>657</v>
      </c>
      <c r="G196" s="4" t="s">
        <v>658</v>
      </c>
      <c r="H196" s="11"/>
      <c r="I196" s="104"/>
      <c r="J196" s="73"/>
      <c r="K196" s="45"/>
      <c r="L196" s="45">
        <v>266.76</v>
      </c>
      <c r="M196" s="30" t="s">
        <v>130</v>
      </c>
      <c r="N196" s="140"/>
    </row>
    <row r="197" spans="2:14" ht="90" x14ac:dyDescent="0.25">
      <c r="B197" s="6" t="s">
        <v>406</v>
      </c>
      <c r="C197" s="12">
        <v>12866070159</v>
      </c>
      <c r="D197" s="4" t="s">
        <v>659</v>
      </c>
      <c r="E197" s="26">
        <v>44953</v>
      </c>
      <c r="F197" s="40" t="s">
        <v>660</v>
      </c>
      <c r="G197" s="4" t="s">
        <v>661</v>
      </c>
      <c r="H197" s="11"/>
      <c r="I197" s="104"/>
      <c r="J197" s="73"/>
      <c r="K197" s="45"/>
      <c r="L197" s="45">
        <f>399+1724.3</f>
        <v>2123.3000000000002</v>
      </c>
      <c r="M197" s="30" t="s">
        <v>130</v>
      </c>
      <c r="N197" s="140"/>
    </row>
    <row r="198" spans="2:14" ht="30" x14ac:dyDescent="0.25">
      <c r="B198" s="6" t="s">
        <v>662</v>
      </c>
      <c r="C198" s="21" t="s">
        <v>519</v>
      </c>
      <c r="D198" s="4" t="s">
        <v>838</v>
      </c>
      <c r="E198" s="3">
        <v>44949</v>
      </c>
      <c r="F198" s="3" t="s">
        <v>663</v>
      </c>
      <c r="G198" s="4" t="s">
        <v>29</v>
      </c>
      <c r="H198" s="11"/>
      <c r="I198" s="104"/>
      <c r="J198" s="73"/>
      <c r="K198" s="45"/>
      <c r="L198" s="45">
        <f>8459+3000</f>
        <v>11459</v>
      </c>
      <c r="M198" s="30" t="s">
        <v>130</v>
      </c>
      <c r="N198" s="140"/>
    </row>
    <row r="199" spans="2:14" ht="255" x14ac:dyDescent="0.25">
      <c r="B199" s="6" t="s">
        <v>609</v>
      </c>
      <c r="C199" s="13" t="s">
        <v>610</v>
      </c>
      <c r="D199" s="4" t="s">
        <v>664</v>
      </c>
      <c r="E199" s="111">
        <v>44972</v>
      </c>
      <c r="F199" s="1" t="s">
        <v>665</v>
      </c>
      <c r="G199" s="4" t="s">
        <v>612</v>
      </c>
      <c r="H199" s="32"/>
      <c r="I199" s="104"/>
      <c r="J199" s="73"/>
      <c r="K199" s="45"/>
      <c r="L199" s="45">
        <v>5200</v>
      </c>
      <c r="M199" s="30" t="s">
        <v>130</v>
      </c>
      <c r="N199" s="140"/>
    </row>
    <row r="200" spans="2:14" ht="105" x14ac:dyDescent="0.25">
      <c r="B200" s="6" t="s">
        <v>474</v>
      </c>
      <c r="C200" s="13" t="s">
        <v>475</v>
      </c>
      <c r="D200" s="4" t="s">
        <v>666</v>
      </c>
      <c r="E200" s="111">
        <v>44972</v>
      </c>
      <c r="F200" s="1" t="s">
        <v>667</v>
      </c>
      <c r="G200" s="98" t="s">
        <v>668</v>
      </c>
      <c r="H200" s="11"/>
      <c r="I200" s="104"/>
      <c r="J200" s="73"/>
      <c r="K200" s="45"/>
      <c r="L200" s="45">
        <v>1229.1199999999999</v>
      </c>
      <c r="M200" s="30" t="s">
        <v>130</v>
      </c>
      <c r="N200" s="140"/>
    </row>
    <row r="201" spans="2:14" ht="75" x14ac:dyDescent="0.25">
      <c r="B201" s="6" t="s">
        <v>376</v>
      </c>
      <c r="C201" s="21" t="s">
        <v>380</v>
      </c>
      <c r="D201" s="4" t="s">
        <v>742</v>
      </c>
      <c r="E201" s="29">
        <v>44980</v>
      </c>
      <c r="F201" s="40" t="s">
        <v>533</v>
      </c>
      <c r="G201" s="92" t="s">
        <v>534</v>
      </c>
      <c r="H201" s="61"/>
      <c r="I201" s="93"/>
      <c r="J201" s="73"/>
      <c r="K201" s="51"/>
      <c r="L201" s="57">
        <v>522</v>
      </c>
      <c r="M201" s="30" t="s">
        <v>129</v>
      </c>
      <c r="N201" s="140"/>
    </row>
    <row r="202" spans="2:14" ht="45" x14ac:dyDescent="0.25">
      <c r="B202" s="6" t="s">
        <v>678</v>
      </c>
      <c r="C202" s="21" t="s">
        <v>679</v>
      </c>
      <c r="D202" s="4" t="s">
        <v>680</v>
      </c>
      <c r="E202" s="29">
        <v>44999</v>
      </c>
      <c r="F202" s="40" t="s">
        <v>681</v>
      </c>
      <c r="G202" s="98" t="s">
        <v>682</v>
      </c>
      <c r="H202" s="61"/>
      <c r="I202" s="93"/>
      <c r="J202" s="73"/>
      <c r="K202" s="51"/>
      <c r="L202" s="57"/>
      <c r="M202" s="30" t="s">
        <v>129</v>
      </c>
      <c r="N202" s="140"/>
    </row>
    <row r="203" spans="2:14" ht="120" x14ac:dyDescent="0.25">
      <c r="B203" s="6" t="s">
        <v>642</v>
      </c>
      <c r="C203" s="21" t="s">
        <v>643</v>
      </c>
      <c r="D203" s="4" t="s">
        <v>683</v>
      </c>
      <c r="E203" s="29">
        <v>44999</v>
      </c>
      <c r="F203" s="40" t="s">
        <v>684</v>
      </c>
      <c r="G203" s="98" t="s">
        <v>685</v>
      </c>
      <c r="H203" s="4"/>
      <c r="I203" s="40"/>
      <c r="J203" s="65"/>
      <c r="K203" s="139"/>
      <c r="L203" s="139">
        <v>6140.69</v>
      </c>
      <c r="M203" s="30" t="s">
        <v>130</v>
      </c>
      <c r="N203" s="140"/>
    </row>
    <row r="204" spans="2:14" ht="75" x14ac:dyDescent="0.25">
      <c r="B204" s="6" t="s">
        <v>376</v>
      </c>
      <c r="C204" s="21" t="s">
        <v>380</v>
      </c>
      <c r="D204" s="4" t="s">
        <v>686</v>
      </c>
      <c r="E204" s="29">
        <v>45014</v>
      </c>
      <c r="F204" s="40" t="s">
        <v>687</v>
      </c>
      <c r="G204" s="92" t="s">
        <v>534</v>
      </c>
      <c r="H204" s="61"/>
      <c r="I204" s="93"/>
      <c r="J204" s="73"/>
      <c r="K204" s="51"/>
      <c r="L204" s="57">
        <f>522+2080</f>
        <v>2602</v>
      </c>
      <c r="M204" s="30" t="s">
        <v>130</v>
      </c>
      <c r="N204" s="140"/>
    </row>
    <row r="205" spans="2:14" ht="30" x14ac:dyDescent="0.25">
      <c r="B205" s="6" t="s">
        <v>726</v>
      </c>
      <c r="C205" s="21" t="s">
        <v>152</v>
      </c>
      <c r="D205" s="4" t="s">
        <v>690</v>
      </c>
      <c r="E205" s="10">
        <v>45028</v>
      </c>
      <c r="F205" s="40" t="s">
        <v>689</v>
      </c>
      <c r="G205" s="32">
        <v>20000</v>
      </c>
      <c r="H205" s="109"/>
      <c r="I205" s="102"/>
      <c r="J205" s="73"/>
      <c r="K205" s="51"/>
      <c r="L205" s="11">
        <f>6666.66+6666.66+6666.67</f>
        <v>19999.989999999998</v>
      </c>
      <c r="M205" s="30" t="s">
        <v>130</v>
      </c>
      <c r="N205" s="140"/>
    </row>
    <row r="206" spans="2:14" ht="60" x14ac:dyDescent="0.25">
      <c r="B206" s="6" t="s">
        <v>474</v>
      </c>
      <c r="C206" s="13" t="s">
        <v>475</v>
      </c>
      <c r="D206" s="4" t="s">
        <v>692</v>
      </c>
      <c r="E206" s="111">
        <v>45037</v>
      </c>
      <c r="F206" s="40" t="s">
        <v>543</v>
      </c>
      <c r="G206" s="5" t="s">
        <v>693</v>
      </c>
      <c r="H206" s="11"/>
      <c r="I206" s="104"/>
      <c r="J206" s="73"/>
      <c r="K206" s="45"/>
      <c r="L206" s="45">
        <v>6760.16</v>
      </c>
      <c r="M206" s="30" t="s">
        <v>130</v>
      </c>
      <c r="N206" s="140"/>
    </row>
    <row r="207" spans="2:14" ht="105" x14ac:dyDescent="0.25">
      <c r="B207" s="6" t="s">
        <v>695</v>
      </c>
      <c r="C207" s="142" t="s">
        <v>694</v>
      </c>
      <c r="D207" s="143" t="s">
        <v>696</v>
      </c>
      <c r="E207" s="144">
        <v>44690</v>
      </c>
      <c r="F207" s="145" t="s">
        <v>697</v>
      </c>
      <c r="G207" s="145" t="s">
        <v>698</v>
      </c>
      <c r="H207" s="146"/>
      <c r="I207" s="147"/>
      <c r="J207" s="146"/>
      <c r="K207" s="148"/>
      <c r="L207" s="149">
        <v>4040.6</v>
      </c>
      <c r="M207" s="1" t="s">
        <v>130</v>
      </c>
      <c r="N207" s="140"/>
    </row>
    <row r="208" spans="2:14" ht="120" x14ac:dyDescent="0.25">
      <c r="B208" s="6" t="s">
        <v>773</v>
      </c>
      <c r="C208" s="21" t="s">
        <v>699</v>
      </c>
      <c r="D208" s="4" t="s">
        <v>700</v>
      </c>
      <c r="E208" s="29">
        <v>45063</v>
      </c>
      <c r="F208" s="40" t="s">
        <v>701</v>
      </c>
      <c r="G208" s="92" t="s">
        <v>702</v>
      </c>
      <c r="H208" s="61"/>
      <c r="I208" s="93"/>
      <c r="J208" s="73"/>
      <c r="K208" s="51"/>
      <c r="L208" s="51">
        <f>17905.61+39089.71</f>
        <v>56995.32</v>
      </c>
      <c r="M208" s="30" t="s">
        <v>130</v>
      </c>
      <c r="N208" s="140"/>
    </row>
    <row r="209" spans="2:15" ht="45" x14ac:dyDescent="0.25">
      <c r="B209" s="6" t="s">
        <v>773</v>
      </c>
      <c r="C209" s="21" t="s">
        <v>699</v>
      </c>
      <c r="D209" s="4" t="s">
        <v>703</v>
      </c>
      <c r="E209" s="29">
        <v>45084</v>
      </c>
      <c r="F209" s="40" t="s">
        <v>701</v>
      </c>
      <c r="G209" s="92" t="s">
        <v>704</v>
      </c>
      <c r="H209" s="61"/>
      <c r="I209" s="93"/>
      <c r="J209" s="73"/>
      <c r="K209" s="51"/>
      <c r="L209" s="51">
        <v>18436.8</v>
      </c>
      <c r="M209" s="30" t="s">
        <v>130</v>
      </c>
      <c r="N209" s="140"/>
    </row>
    <row r="210" spans="2:15" ht="105" x14ac:dyDescent="0.25">
      <c r="B210" s="6" t="s">
        <v>609</v>
      </c>
      <c r="C210" s="13" t="s">
        <v>610</v>
      </c>
      <c r="D210" s="4" t="s">
        <v>705</v>
      </c>
      <c r="E210" s="111">
        <v>45084</v>
      </c>
      <c r="F210" s="1" t="s">
        <v>767</v>
      </c>
      <c r="G210" s="4" t="s">
        <v>706</v>
      </c>
      <c r="H210" s="61"/>
      <c r="I210" s="93"/>
      <c r="J210" s="73"/>
      <c r="K210" s="51"/>
      <c r="L210" s="51">
        <v>3120</v>
      </c>
      <c r="M210" s="164" t="s">
        <v>130</v>
      </c>
      <c r="N210" s="140"/>
    </row>
    <row r="211" spans="2:15" ht="105" x14ac:dyDescent="0.25">
      <c r="B211" s="6" t="s">
        <v>93</v>
      </c>
      <c r="C211" s="21" t="s">
        <v>707</v>
      </c>
      <c r="D211" s="4" t="s">
        <v>708</v>
      </c>
      <c r="E211" s="151">
        <v>45084</v>
      </c>
      <c r="F211" s="115" t="s">
        <v>712</v>
      </c>
      <c r="G211" s="40" t="s">
        <v>709</v>
      </c>
      <c r="H211" s="88"/>
      <c r="I211" s="3"/>
      <c r="J211" s="62"/>
      <c r="K211" s="47"/>
      <c r="L211" s="11">
        <v>1200</v>
      </c>
      <c r="M211" s="30" t="s">
        <v>130</v>
      </c>
      <c r="N211" s="140"/>
    </row>
    <row r="212" spans="2:15" ht="120" x14ac:dyDescent="0.25">
      <c r="B212" s="6" t="s">
        <v>13</v>
      </c>
      <c r="C212" s="13">
        <v>2309220602</v>
      </c>
      <c r="D212" s="4" t="s">
        <v>711</v>
      </c>
      <c r="E212" s="29">
        <v>45093</v>
      </c>
      <c r="F212" s="115" t="s">
        <v>712</v>
      </c>
      <c r="G212" s="92" t="s">
        <v>713</v>
      </c>
      <c r="H212" s="61"/>
      <c r="I212" s="93"/>
      <c r="J212" s="73"/>
      <c r="K212" s="51"/>
      <c r="L212" s="57"/>
      <c r="M212" s="30" t="s">
        <v>129</v>
      </c>
      <c r="N212" s="2" t="s">
        <v>1033</v>
      </c>
    </row>
    <row r="213" spans="2:15" ht="72" customHeight="1" x14ac:dyDescent="0.25">
      <c r="B213" s="6" t="s">
        <v>714</v>
      </c>
      <c r="C213" s="13" t="s">
        <v>715</v>
      </c>
      <c r="D213" s="4" t="s">
        <v>716</v>
      </c>
      <c r="E213" s="29">
        <v>45104</v>
      </c>
      <c r="F213" s="115" t="s">
        <v>717</v>
      </c>
      <c r="G213" s="40" t="s">
        <v>718</v>
      </c>
      <c r="H213" s="61"/>
      <c r="I213" s="93"/>
      <c r="J213" s="73"/>
      <c r="K213" s="51">
        <f>3983.98+3983.98</f>
        <v>7967.96</v>
      </c>
      <c r="L213" s="51">
        <f>3983.98+3983.98+3983.98+3983.98+3983.98+3983.98+3983.98+3983.98+3983.98+3983.98+3983.98+3983.98+3983.98+3983.98+3983.98+3983.98+3983.98+3983.98</f>
        <v>71711.640000000014</v>
      </c>
      <c r="M213" s="30" t="s">
        <v>129</v>
      </c>
      <c r="N213" s="140"/>
    </row>
    <row r="214" spans="2:15" ht="75" x14ac:dyDescent="0.25">
      <c r="B214" s="6" t="s">
        <v>719</v>
      </c>
      <c r="C214" s="13" t="s">
        <v>720</v>
      </c>
      <c r="D214" s="4" t="s">
        <v>721</v>
      </c>
      <c r="E214" s="29">
        <v>45091</v>
      </c>
      <c r="F214" s="115" t="s">
        <v>722</v>
      </c>
      <c r="G214" s="40" t="s">
        <v>723</v>
      </c>
      <c r="H214" s="61"/>
      <c r="I214" s="93"/>
      <c r="J214" s="73"/>
      <c r="K214" s="51"/>
      <c r="L214" s="57">
        <f>1220+1020+1077.5+1027.5</f>
        <v>4345</v>
      </c>
      <c r="M214" s="30" t="s">
        <v>129</v>
      </c>
      <c r="N214" s="140"/>
    </row>
    <row r="215" spans="2:15" ht="135" x14ac:dyDescent="0.25">
      <c r="B215" s="6" t="s">
        <v>93</v>
      </c>
      <c r="C215" s="21" t="s">
        <v>707</v>
      </c>
      <c r="D215" s="4" t="s">
        <v>724</v>
      </c>
      <c r="E215" s="151">
        <v>45112</v>
      </c>
      <c r="F215" s="115" t="s">
        <v>712</v>
      </c>
      <c r="G215" s="40" t="s">
        <v>725</v>
      </c>
      <c r="H215" s="88"/>
      <c r="I215" s="3"/>
      <c r="J215" s="62"/>
      <c r="K215" s="47"/>
      <c r="L215" s="11">
        <f>2295.75+900+962.25+900</f>
        <v>5058</v>
      </c>
      <c r="M215" s="30" t="s">
        <v>130</v>
      </c>
      <c r="N215" s="140"/>
    </row>
    <row r="216" spans="2:15" ht="45" x14ac:dyDescent="0.25">
      <c r="B216" s="6" t="s">
        <v>16</v>
      </c>
      <c r="C216" s="12">
        <v>1699520159</v>
      </c>
      <c r="D216" s="25" t="s">
        <v>730</v>
      </c>
      <c r="E216" s="29">
        <v>44988</v>
      </c>
      <c r="F216" s="115" t="s">
        <v>731</v>
      </c>
      <c r="G216" s="152" t="s">
        <v>732</v>
      </c>
      <c r="H216" s="61"/>
      <c r="I216" s="93"/>
      <c r="J216" s="73"/>
      <c r="K216" s="51"/>
      <c r="L216" s="57">
        <v>5000</v>
      </c>
      <c r="M216" s="96" t="s">
        <v>130</v>
      </c>
      <c r="N216" s="140"/>
    </row>
    <row r="217" spans="2:15" ht="120" x14ac:dyDescent="0.25">
      <c r="B217" s="6" t="s">
        <v>853</v>
      </c>
      <c r="C217" s="21" t="s">
        <v>733</v>
      </c>
      <c r="D217" s="25" t="s">
        <v>734</v>
      </c>
      <c r="E217" s="29">
        <v>45139</v>
      </c>
      <c r="F217" s="115" t="s">
        <v>735</v>
      </c>
      <c r="G217" s="153" t="s">
        <v>736</v>
      </c>
      <c r="H217" s="61"/>
      <c r="I217" s="93"/>
      <c r="J217" s="73"/>
      <c r="K217" s="51"/>
      <c r="L217" s="57">
        <f>6790.89</f>
        <v>6790.89</v>
      </c>
      <c r="M217" s="96" t="s">
        <v>129</v>
      </c>
      <c r="N217" s="2" t="s">
        <v>760</v>
      </c>
    </row>
    <row r="218" spans="2:15" ht="45" x14ac:dyDescent="0.25">
      <c r="B218" s="6" t="s">
        <v>800</v>
      </c>
      <c r="C218" s="21" t="s">
        <v>744</v>
      </c>
      <c r="D218" s="25" t="s">
        <v>743</v>
      </c>
      <c r="E218" s="29">
        <v>45182</v>
      </c>
      <c r="F218" s="51">
        <f>1309.97+3252.35</f>
        <v>4562.32</v>
      </c>
      <c r="G218" s="152" t="s">
        <v>745</v>
      </c>
      <c r="H218" s="61"/>
      <c r="I218" s="93"/>
      <c r="J218" s="73"/>
      <c r="K218" s="51">
        <f>1915.27+2638.02+2457.33</f>
        <v>7010.62</v>
      </c>
      <c r="L218" s="51">
        <f>1309.97+3252.35+3044.56+1788.79+3252.35+2791.6+2954.22+2746.43+3261.38+2746.43+3152.97+1535.83+3035.52-144.55+3306.55+2872.91+1915.27+2638.02+2457.33</f>
        <v>47917.929999999993</v>
      </c>
      <c r="M218" s="96" t="s">
        <v>129</v>
      </c>
      <c r="N218" s="2" t="s">
        <v>759</v>
      </c>
    </row>
    <row r="219" spans="2:15" ht="54.75" customHeight="1" x14ac:dyDescent="0.25">
      <c r="B219" s="6" t="s">
        <v>354</v>
      </c>
      <c r="C219" s="21" t="s">
        <v>355</v>
      </c>
      <c r="D219" s="4" t="s">
        <v>356</v>
      </c>
      <c r="E219" s="26" t="s">
        <v>753</v>
      </c>
      <c r="F219" s="26" t="s">
        <v>748</v>
      </c>
      <c r="G219" s="153" t="s">
        <v>749</v>
      </c>
      <c r="H219" s="61"/>
      <c r="I219" s="93"/>
      <c r="J219" s="73"/>
      <c r="K219" s="51"/>
      <c r="L219" s="57">
        <f>903.19+903.19</f>
        <v>1806.38</v>
      </c>
      <c r="M219" s="30" t="s">
        <v>130</v>
      </c>
      <c r="N219" s="2" t="s">
        <v>752</v>
      </c>
      <c r="O219" s="170"/>
    </row>
    <row r="220" spans="2:15" ht="60" x14ac:dyDescent="0.25">
      <c r="B220" s="6" t="s">
        <v>430</v>
      </c>
      <c r="C220" s="12" t="s">
        <v>431</v>
      </c>
      <c r="D220" s="4" t="s">
        <v>754</v>
      </c>
      <c r="E220" s="29">
        <v>45211</v>
      </c>
      <c r="F220" s="40" t="s">
        <v>756</v>
      </c>
      <c r="G220" s="153" t="s">
        <v>755</v>
      </c>
      <c r="H220" s="61"/>
      <c r="I220" s="93"/>
      <c r="J220" s="73"/>
      <c r="K220" s="57"/>
      <c r="L220" s="57">
        <f>3059.68+3059.68</f>
        <v>6119.36</v>
      </c>
      <c r="M220" s="96" t="s">
        <v>130</v>
      </c>
      <c r="N220" s="2" t="s">
        <v>757</v>
      </c>
    </row>
    <row r="221" spans="2:15" ht="45" x14ac:dyDescent="0.25">
      <c r="B221" s="6" t="s">
        <v>474</v>
      </c>
      <c r="C221" s="13" t="s">
        <v>475</v>
      </c>
      <c r="D221" s="4" t="s">
        <v>740</v>
      </c>
      <c r="E221" s="111">
        <v>45215</v>
      </c>
      <c r="F221" s="40" t="s">
        <v>543</v>
      </c>
      <c r="G221" s="5" t="s">
        <v>741</v>
      </c>
      <c r="H221" s="11"/>
      <c r="I221" s="104"/>
      <c r="J221" s="73"/>
      <c r="K221" s="45"/>
      <c r="L221" s="45"/>
      <c r="M221" s="30" t="s">
        <v>129</v>
      </c>
      <c r="N221" s="2" t="s">
        <v>758</v>
      </c>
    </row>
    <row r="222" spans="2:15" ht="135" x14ac:dyDescent="0.25">
      <c r="B222" s="6" t="s">
        <v>762</v>
      </c>
      <c r="C222" s="21" t="s">
        <v>761</v>
      </c>
      <c r="D222" s="4" t="s">
        <v>763</v>
      </c>
      <c r="E222" s="3">
        <v>45238</v>
      </c>
      <c r="F222" s="1" t="s">
        <v>701</v>
      </c>
      <c r="G222" s="4" t="s">
        <v>764</v>
      </c>
      <c r="H222" s="138"/>
      <c r="I222" s="138"/>
      <c r="J222" s="67"/>
      <c r="K222" s="139"/>
      <c r="L222" s="57">
        <v>1010.02</v>
      </c>
      <c r="M222" s="30" t="s">
        <v>129</v>
      </c>
      <c r="N222" s="2" t="s">
        <v>765</v>
      </c>
    </row>
    <row r="223" spans="2:15" ht="60" x14ac:dyDescent="0.25">
      <c r="B223" s="6" t="s">
        <v>609</v>
      </c>
      <c r="C223" s="158" t="s">
        <v>610</v>
      </c>
      <c r="D223" s="143" t="s">
        <v>766</v>
      </c>
      <c r="E223" s="159">
        <v>45239</v>
      </c>
      <c r="F223" s="150" t="s">
        <v>767</v>
      </c>
      <c r="G223" s="8" t="s">
        <v>768</v>
      </c>
      <c r="H223" s="160"/>
      <c r="I223" s="161"/>
      <c r="J223" s="162"/>
      <c r="K223" s="163"/>
      <c r="L223" s="163">
        <v>4680</v>
      </c>
      <c r="M223" s="164" t="s">
        <v>130</v>
      </c>
      <c r="N223" s="165" t="s">
        <v>769</v>
      </c>
    </row>
    <row r="224" spans="2:15" ht="75" x14ac:dyDescent="0.25">
      <c r="B224" s="6" t="s">
        <v>773</v>
      </c>
      <c r="C224" s="21" t="s">
        <v>699</v>
      </c>
      <c r="D224" s="4" t="s">
        <v>770</v>
      </c>
      <c r="E224" s="3">
        <v>45243</v>
      </c>
      <c r="F224" s="40" t="s">
        <v>701</v>
      </c>
      <c r="G224" s="92" t="s">
        <v>771</v>
      </c>
      <c r="H224" s="138" t="s">
        <v>1053</v>
      </c>
      <c r="I224" s="154">
        <v>45706</v>
      </c>
      <c r="J224" s="67" t="s">
        <v>1044</v>
      </c>
      <c r="K224" s="139">
        <v>6145.6</v>
      </c>
      <c r="L224" s="139">
        <f>6145.69+6145.6</f>
        <v>12291.29</v>
      </c>
      <c r="M224" s="30" t="s">
        <v>130</v>
      </c>
      <c r="N224" s="2" t="s">
        <v>772</v>
      </c>
    </row>
    <row r="225" spans="2:14" ht="75" x14ac:dyDescent="0.25">
      <c r="B225" s="6" t="s">
        <v>196</v>
      </c>
      <c r="C225" s="21" t="s">
        <v>197</v>
      </c>
      <c r="D225" s="4" t="s">
        <v>775</v>
      </c>
      <c r="E225" s="3">
        <v>45243</v>
      </c>
      <c r="F225" s="2" t="s">
        <v>776</v>
      </c>
      <c r="G225" s="4" t="s">
        <v>777</v>
      </c>
      <c r="H225" s="138"/>
      <c r="I225" s="138"/>
      <c r="J225" s="67"/>
      <c r="K225" s="141">
        <v>2105.69</v>
      </c>
      <c r="L225" s="141">
        <f>4211.42+2105.72+2105.69</f>
        <v>8422.83</v>
      </c>
      <c r="M225" s="30" t="s">
        <v>130</v>
      </c>
      <c r="N225" s="2" t="s">
        <v>774</v>
      </c>
    </row>
    <row r="226" spans="2:14" ht="60" x14ac:dyDescent="0.25">
      <c r="B226" s="6" t="s">
        <v>219</v>
      </c>
      <c r="C226" s="21" t="s">
        <v>511</v>
      </c>
      <c r="D226" s="4" t="s">
        <v>779</v>
      </c>
      <c r="E226" s="3">
        <v>45239</v>
      </c>
      <c r="F226" s="1" t="s">
        <v>778</v>
      </c>
      <c r="G226" s="152" t="s">
        <v>780</v>
      </c>
      <c r="H226" s="138"/>
      <c r="I226" s="138"/>
      <c r="J226" s="67"/>
      <c r="K226" s="139"/>
      <c r="L226" s="139">
        <v>4700</v>
      </c>
      <c r="M226" s="30" t="s">
        <v>130</v>
      </c>
      <c r="N226" s="2" t="s">
        <v>781</v>
      </c>
    </row>
    <row r="227" spans="2:14" ht="75" x14ac:dyDescent="0.25">
      <c r="B227" s="35" t="s">
        <v>773</v>
      </c>
      <c r="C227" s="21" t="s">
        <v>699</v>
      </c>
      <c r="D227" s="4" t="s">
        <v>782</v>
      </c>
      <c r="E227" s="3">
        <v>45251</v>
      </c>
      <c r="F227" s="40" t="s">
        <v>701</v>
      </c>
      <c r="G227" s="92" t="s">
        <v>783</v>
      </c>
      <c r="H227" s="138"/>
      <c r="I227" s="154"/>
      <c r="J227" s="67"/>
      <c r="K227" s="139"/>
      <c r="L227" s="139">
        <v>8358.02</v>
      </c>
      <c r="M227" s="30" t="s">
        <v>130</v>
      </c>
      <c r="N227" s="2" t="s">
        <v>784</v>
      </c>
    </row>
    <row r="228" spans="2:14" ht="75" x14ac:dyDescent="0.25">
      <c r="B228" s="6" t="s">
        <v>470</v>
      </c>
      <c r="C228" s="13" t="s">
        <v>471</v>
      </c>
      <c r="D228" s="4" t="s">
        <v>788</v>
      </c>
      <c r="E228" s="29">
        <v>45260</v>
      </c>
      <c r="F228" s="40" t="s">
        <v>787</v>
      </c>
      <c r="G228" s="92" t="s">
        <v>786</v>
      </c>
      <c r="H228" s="61"/>
      <c r="I228" s="93"/>
      <c r="J228" s="73"/>
      <c r="K228" s="51"/>
      <c r="L228" s="57">
        <f>10400+288</f>
        <v>10688</v>
      </c>
      <c r="M228" s="30" t="s">
        <v>130</v>
      </c>
      <c r="N228" s="2" t="s">
        <v>785</v>
      </c>
    </row>
    <row r="229" spans="2:14" ht="150" x14ac:dyDescent="0.25">
      <c r="B229" s="6" t="s">
        <v>789</v>
      </c>
      <c r="C229" s="13">
        <v>11514241006</v>
      </c>
      <c r="D229" s="4" t="s">
        <v>875</v>
      </c>
      <c r="E229" s="3">
        <v>45280</v>
      </c>
      <c r="F229" s="4" t="s">
        <v>790</v>
      </c>
      <c r="G229" s="92" t="s">
        <v>791</v>
      </c>
      <c r="H229" s="61"/>
      <c r="I229" s="93"/>
      <c r="J229" s="73"/>
      <c r="K229" s="51"/>
      <c r="L229" s="51">
        <v>2885.76</v>
      </c>
      <c r="M229" s="30" t="s">
        <v>130</v>
      </c>
      <c r="N229" s="2" t="s">
        <v>792</v>
      </c>
    </row>
    <row r="230" spans="2:14" ht="30" x14ac:dyDescent="0.25">
      <c r="B230" s="6" t="s">
        <v>726</v>
      </c>
      <c r="C230" s="21" t="s">
        <v>152</v>
      </c>
      <c r="D230" s="4" t="s">
        <v>579</v>
      </c>
      <c r="E230" s="3">
        <v>45280</v>
      </c>
      <c r="F230" s="40" t="s">
        <v>793</v>
      </c>
      <c r="G230" s="32">
        <v>12000</v>
      </c>
      <c r="H230" s="109"/>
      <c r="I230" s="102"/>
      <c r="J230" s="73"/>
      <c r="K230" s="51"/>
      <c r="L230" s="141">
        <v>12000</v>
      </c>
      <c r="M230" s="30" t="s">
        <v>130</v>
      </c>
      <c r="N230" s="2" t="s">
        <v>794</v>
      </c>
    </row>
    <row r="231" spans="2:14" ht="105" x14ac:dyDescent="0.25">
      <c r="B231" s="188" t="s">
        <v>992</v>
      </c>
      <c r="C231" s="21" t="s">
        <v>993</v>
      </c>
      <c r="D231" s="4" t="s">
        <v>795</v>
      </c>
      <c r="E231" s="27">
        <v>45279</v>
      </c>
      <c r="F231" s="10" t="s">
        <v>422</v>
      </c>
      <c r="G231" s="125" t="s">
        <v>796</v>
      </c>
      <c r="H231" s="51"/>
      <c r="I231" s="200"/>
      <c r="J231" s="73"/>
      <c r="K231" s="51">
        <f>57.87+13.53+64.33+5.95+15135.16+605.41</f>
        <v>15882.25</v>
      </c>
      <c r="L231" s="51">
        <f>14158.01+57.87+13.53+64.33+1685.89+394.25+1874.34+41860.49+9789.31+46539.59+10.69+45.69+50.8+57.87+13.53+64.33+5.95+15135.16+605.41</f>
        <v>132427.04</v>
      </c>
      <c r="M231" s="30" t="s">
        <v>129</v>
      </c>
      <c r="N231" s="157"/>
    </row>
    <row r="232" spans="2:14" ht="45" x14ac:dyDescent="0.25">
      <c r="B232" s="6" t="s">
        <v>204</v>
      </c>
      <c r="C232" s="12">
        <v>1850570746</v>
      </c>
      <c r="D232" s="4" t="s">
        <v>809</v>
      </c>
      <c r="E232" s="26">
        <v>45294</v>
      </c>
      <c r="F232" s="10" t="s">
        <v>810</v>
      </c>
      <c r="G232" s="58" t="s">
        <v>807</v>
      </c>
      <c r="H232" s="184">
        <v>321.95999999999998</v>
      </c>
      <c r="I232" s="107"/>
      <c r="J232" s="73"/>
      <c r="K232" s="184"/>
      <c r="L232" s="184">
        <v>9750</v>
      </c>
      <c r="M232" s="1" t="s">
        <v>130</v>
      </c>
      <c r="N232" s="96" t="s">
        <v>808</v>
      </c>
    </row>
    <row r="233" spans="2:14" ht="60" customHeight="1" x14ac:dyDescent="0.25">
      <c r="B233" s="6" t="s">
        <v>354</v>
      </c>
      <c r="C233" s="21" t="s">
        <v>355</v>
      </c>
      <c r="D233" s="4" t="s">
        <v>356</v>
      </c>
      <c r="E233" s="26">
        <v>45320</v>
      </c>
      <c r="F233" s="115" t="s">
        <v>811</v>
      </c>
      <c r="G233" s="153" t="s">
        <v>812</v>
      </c>
      <c r="H233" s="184"/>
      <c r="I233" s="93"/>
      <c r="J233" s="73"/>
      <c r="K233" s="184">
        <v>1377.13</v>
      </c>
      <c r="L233" s="184">
        <f>1377.13+1377.13+1377.13+1377.13+1377.13+1377.13+1377.13+1377.13+1377.13+1377.13+1377.13+1377.13</f>
        <v>16525.560000000005</v>
      </c>
      <c r="M233" s="96" t="s">
        <v>129</v>
      </c>
      <c r="N233" s="2" t="s">
        <v>813</v>
      </c>
    </row>
    <row r="234" spans="2:14" ht="30" x14ac:dyDescent="0.25">
      <c r="B234" s="6" t="s">
        <v>726</v>
      </c>
      <c r="C234" s="21" t="s">
        <v>152</v>
      </c>
      <c r="D234" s="4" t="s">
        <v>1024</v>
      </c>
      <c r="E234" s="26">
        <v>45330</v>
      </c>
      <c r="F234" s="40" t="s">
        <v>826</v>
      </c>
      <c r="G234" s="32">
        <v>20000</v>
      </c>
      <c r="H234" s="184">
        <v>310.79000000000002</v>
      </c>
      <c r="I234" s="93"/>
      <c r="J234" s="73"/>
      <c r="K234" s="184"/>
      <c r="L234" s="184">
        <f>5000+5000+5000+5000</f>
        <v>20000</v>
      </c>
      <c r="M234" s="30" t="s">
        <v>130</v>
      </c>
      <c r="N234" s="2" t="s">
        <v>827</v>
      </c>
    </row>
    <row r="235" spans="2:14" ht="120" x14ac:dyDescent="0.25">
      <c r="B235" s="6" t="s">
        <v>773</v>
      </c>
      <c r="C235" s="21" t="s">
        <v>699</v>
      </c>
      <c r="D235" s="4" t="s">
        <v>814</v>
      </c>
      <c r="E235" s="3">
        <v>45335</v>
      </c>
      <c r="F235" s="40" t="s">
        <v>815</v>
      </c>
      <c r="G235" s="92" t="s">
        <v>816</v>
      </c>
      <c r="H235" s="138"/>
      <c r="I235" s="154"/>
      <c r="J235" s="67"/>
      <c r="K235" s="139"/>
      <c r="L235" s="139">
        <v>6145.6</v>
      </c>
      <c r="M235" s="30" t="s">
        <v>130</v>
      </c>
      <c r="N235" s="2" t="s">
        <v>817</v>
      </c>
    </row>
    <row r="236" spans="2:14" ht="90" x14ac:dyDescent="0.25">
      <c r="B236" s="6" t="s">
        <v>818</v>
      </c>
      <c r="C236" s="21" t="s">
        <v>819</v>
      </c>
      <c r="D236" s="4" t="s">
        <v>820</v>
      </c>
      <c r="E236" s="3">
        <v>45342</v>
      </c>
      <c r="F236" s="1" t="s">
        <v>822</v>
      </c>
      <c r="G236" s="166" t="s">
        <v>821</v>
      </c>
      <c r="H236" s="138"/>
      <c r="I236" s="138"/>
      <c r="J236" s="67"/>
      <c r="K236" s="139">
        <v>6760</v>
      </c>
      <c r="L236" s="139">
        <v>6760</v>
      </c>
      <c r="M236" s="30" t="s">
        <v>130</v>
      </c>
      <c r="N236" s="2" t="s">
        <v>823</v>
      </c>
    </row>
    <row r="237" spans="2:14" ht="45" x14ac:dyDescent="0.25">
      <c r="B237" s="6" t="s">
        <v>13</v>
      </c>
      <c r="C237" s="21" t="s">
        <v>710</v>
      </c>
      <c r="D237" s="4" t="s">
        <v>842</v>
      </c>
      <c r="E237" s="3">
        <v>45343</v>
      </c>
      <c r="F237" s="1" t="s">
        <v>701</v>
      </c>
      <c r="G237" s="166" t="s">
        <v>824</v>
      </c>
      <c r="H237" s="138"/>
      <c r="I237" s="138"/>
      <c r="J237" s="67"/>
      <c r="K237" s="139"/>
      <c r="L237" s="140"/>
      <c r="M237" s="30" t="s">
        <v>129</v>
      </c>
      <c r="N237" s="2" t="s">
        <v>825</v>
      </c>
    </row>
    <row r="238" spans="2:14" ht="87.75" customHeight="1" x14ac:dyDescent="0.25">
      <c r="B238" s="6" t="s">
        <v>828</v>
      </c>
      <c r="C238" s="21" t="s">
        <v>829</v>
      </c>
      <c r="D238" s="4" t="s">
        <v>830</v>
      </c>
      <c r="E238" s="3">
        <v>45350</v>
      </c>
      <c r="F238" s="1" t="s">
        <v>831</v>
      </c>
      <c r="G238" s="166" t="s">
        <v>833</v>
      </c>
      <c r="H238" s="4"/>
      <c r="I238" s="171"/>
      <c r="J238" s="67"/>
      <c r="K238" s="139"/>
      <c r="L238" s="139">
        <f>5143.44+5143.44+5143.44+5143.44+5143.44+5143.44+5143.44+5143.44+5143.44+5143.44+5143.44+5143.44</f>
        <v>61721.280000000006</v>
      </c>
      <c r="M238" s="30" t="s">
        <v>129</v>
      </c>
      <c r="N238" s="2" t="s">
        <v>832</v>
      </c>
    </row>
    <row r="239" spans="2:14" ht="60" x14ac:dyDescent="0.25">
      <c r="B239" s="6" t="s">
        <v>13</v>
      </c>
      <c r="C239" s="21" t="s">
        <v>710</v>
      </c>
      <c r="D239" s="4" t="s">
        <v>839</v>
      </c>
      <c r="E239" s="3">
        <v>45393</v>
      </c>
      <c r="F239" s="1" t="s">
        <v>701</v>
      </c>
      <c r="G239" s="166" t="s">
        <v>840</v>
      </c>
      <c r="H239" s="138"/>
      <c r="I239" s="138"/>
      <c r="J239" s="67"/>
      <c r="K239" s="139"/>
      <c r="L239" s="140"/>
      <c r="M239" s="30" t="s">
        <v>129</v>
      </c>
      <c r="N239" s="2" t="s">
        <v>841</v>
      </c>
    </row>
    <row r="240" spans="2:14" ht="75" x14ac:dyDescent="0.25">
      <c r="B240" s="6" t="s">
        <v>773</v>
      </c>
      <c r="C240" s="21" t="s">
        <v>699</v>
      </c>
      <c r="D240" s="4" t="s">
        <v>843</v>
      </c>
      <c r="E240" s="3">
        <v>45405</v>
      </c>
      <c r="F240" s="40" t="s">
        <v>844</v>
      </c>
      <c r="G240" s="92" t="s">
        <v>845</v>
      </c>
      <c r="H240" s="138"/>
      <c r="I240" s="154"/>
      <c r="J240" s="67"/>
      <c r="K240" s="139"/>
      <c r="L240" s="139">
        <v>9832.9599999999991</v>
      </c>
      <c r="M240" s="30" t="s">
        <v>129</v>
      </c>
      <c r="N240" s="2" t="s">
        <v>846</v>
      </c>
    </row>
    <row r="241" spans="2:14" ht="60" x14ac:dyDescent="0.25">
      <c r="B241" s="6" t="s">
        <v>93</v>
      </c>
      <c r="C241" s="21" t="s">
        <v>707</v>
      </c>
      <c r="D241" s="4" t="s">
        <v>847</v>
      </c>
      <c r="E241" s="151">
        <v>45419</v>
      </c>
      <c r="F241" s="115" t="s">
        <v>712</v>
      </c>
      <c r="G241" s="40" t="s">
        <v>848</v>
      </c>
      <c r="H241" s="88"/>
      <c r="I241" s="3"/>
      <c r="J241" s="62"/>
      <c r="K241" s="47"/>
      <c r="L241" s="47">
        <v>18000</v>
      </c>
      <c r="M241" s="30" t="s">
        <v>130</v>
      </c>
      <c r="N241" s="139" t="s">
        <v>849</v>
      </c>
    </row>
    <row r="242" spans="2:14" ht="90" x14ac:dyDescent="0.25">
      <c r="B242" s="6" t="s">
        <v>93</v>
      </c>
      <c r="C242" s="21" t="s">
        <v>707</v>
      </c>
      <c r="D242" s="4" t="s">
        <v>850</v>
      </c>
      <c r="E242" s="151">
        <v>45419</v>
      </c>
      <c r="F242" s="115" t="s">
        <v>712</v>
      </c>
      <c r="G242" s="40" t="s">
        <v>851</v>
      </c>
      <c r="H242" s="88"/>
      <c r="I242" s="3"/>
      <c r="J242" s="62"/>
      <c r="K242" s="47"/>
      <c r="L242" s="47"/>
      <c r="M242" s="30" t="s">
        <v>129</v>
      </c>
      <c r="N242" s="139" t="s">
        <v>852</v>
      </c>
    </row>
    <row r="243" spans="2:14" ht="90" x14ac:dyDescent="0.25">
      <c r="B243" s="6" t="s">
        <v>853</v>
      </c>
      <c r="C243" s="21" t="s">
        <v>733</v>
      </c>
      <c r="D243" s="4" t="s">
        <v>854</v>
      </c>
      <c r="E243" s="151">
        <v>45429</v>
      </c>
      <c r="F243" s="115" t="s">
        <v>712</v>
      </c>
      <c r="G243" s="40" t="s">
        <v>855</v>
      </c>
      <c r="H243" s="88"/>
      <c r="I243" s="3"/>
      <c r="J243" s="62"/>
      <c r="K243" s="47"/>
      <c r="L243" s="47">
        <v>3072.8</v>
      </c>
      <c r="M243" s="30" t="s">
        <v>130</v>
      </c>
      <c r="N243" s="139" t="s">
        <v>856</v>
      </c>
    </row>
    <row r="244" spans="2:14" ht="105" x14ac:dyDescent="0.25">
      <c r="B244" s="6" t="s">
        <v>857</v>
      </c>
      <c r="C244" s="21" t="s">
        <v>858</v>
      </c>
      <c r="D244" s="4" t="s">
        <v>859</v>
      </c>
      <c r="E244" s="151">
        <v>45433</v>
      </c>
      <c r="F244" s="115" t="s">
        <v>860</v>
      </c>
      <c r="G244" s="40" t="s">
        <v>867</v>
      </c>
      <c r="H244" s="88"/>
      <c r="I244" s="3"/>
      <c r="J244" s="62"/>
      <c r="K244" s="47">
        <v>2121.6</v>
      </c>
      <c r="L244" s="47">
        <f>2121.6+2121.6+2121.6+2121.6+2121.6+2121.6+2121.6+2121.6</f>
        <v>16972.8</v>
      </c>
      <c r="M244" s="30" t="s">
        <v>130</v>
      </c>
      <c r="N244" s="139" t="s">
        <v>861</v>
      </c>
    </row>
    <row r="245" spans="2:14" ht="135" x14ac:dyDescent="0.25">
      <c r="B245" s="6" t="s">
        <v>914</v>
      </c>
      <c r="C245" s="21" t="s">
        <v>915</v>
      </c>
      <c r="D245" s="4" t="s">
        <v>916</v>
      </c>
      <c r="E245" s="169">
        <v>45442</v>
      </c>
      <c r="F245" s="183" t="s">
        <v>863</v>
      </c>
      <c r="G245" s="134" t="s">
        <v>917</v>
      </c>
      <c r="H245" s="4"/>
      <c r="I245" s="40"/>
      <c r="J245" s="65"/>
      <c r="K245" s="11">
        <f>912.12+912.12+912.12</f>
        <v>2736.36</v>
      </c>
      <c r="L245" s="11">
        <f>3089.52+912.12+912.12+912.12+912.12+912.12+912.12</f>
        <v>8562.24</v>
      </c>
      <c r="M245" s="1" t="s">
        <v>129</v>
      </c>
      <c r="N245" s="2" t="s">
        <v>864</v>
      </c>
    </row>
    <row r="246" spans="2:14" ht="60" x14ac:dyDescent="0.25">
      <c r="B246" s="6" t="s">
        <v>219</v>
      </c>
      <c r="C246" s="21" t="s">
        <v>511</v>
      </c>
      <c r="D246" s="166" t="s">
        <v>868</v>
      </c>
      <c r="E246" s="3">
        <v>45462</v>
      </c>
      <c r="F246" s="1" t="s">
        <v>870</v>
      </c>
      <c r="G246" s="186" t="s">
        <v>991</v>
      </c>
      <c r="H246" s="138"/>
      <c r="I246" s="154"/>
      <c r="J246" s="67"/>
      <c r="K246" s="139"/>
      <c r="L246" s="139">
        <v>13600</v>
      </c>
      <c r="M246" s="30" t="s">
        <v>130</v>
      </c>
      <c r="N246" s="140"/>
    </row>
    <row r="247" spans="2:14" ht="60" x14ac:dyDescent="0.25">
      <c r="B247" s="6" t="s">
        <v>219</v>
      </c>
      <c r="C247" s="21" t="s">
        <v>511</v>
      </c>
      <c r="D247" s="166" t="s">
        <v>869</v>
      </c>
      <c r="E247" s="3">
        <v>45462</v>
      </c>
      <c r="F247" s="1" t="s">
        <v>778</v>
      </c>
      <c r="G247" s="172" t="s">
        <v>871</v>
      </c>
      <c r="H247" s="138"/>
      <c r="I247" s="138"/>
      <c r="J247" s="67"/>
      <c r="K247" s="139"/>
      <c r="L247" s="24">
        <v>1150</v>
      </c>
      <c r="M247" s="30" t="s">
        <v>130</v>
      </c>
      <c r="N247" s="140"/>
    </row>
    <row r="248" spans="2:14" ht="134.25" customHeight="1" x14ac:dyDescent="0.25">
      <c r="B248" s="6" t="s">
        <v>877</v>
      </c>
      <c r="C248" s="21" t="s">
        <v>878</v>
      </c>
      <c r="D248" s="4" t="s">
        <v>100</v>
      </c>
      <c r="E248" s="3">
        <v>45489</v>
      </c>
      <c r="F248" s="166" t="s">
        <v>879</v>
      </c>
      <c r="G248" s="166" t="s">
        <v>880</v>
      </c>
      <c r="H248" s="138" t="s">
        <v>1045</v>
      </c>
      <c r="I248" s="154">
        <v>45680</v>
      </c>
      <c r="J248" s="67" t="s">
        <v>1044</v>
      </c>
      <c r="K248" s="24">
        <v>9707.91</v>
      </c>
      <c r="L248" s="24">
        <f>6472.17+9707.91</f>
        <v>16180.08</v>
      </c>
      <c r="M248" s="2" t="s">
        <v>129</v>
      </c>
      <c r="N248" s="2" t="s">
        <v>876</v>
      </c>
    </row>
    <row r="249" spans="2:14" ht="60" x14ac:dyDescent="0.25">
      <c r="B249" s="6" t="s">
        <v>818</v>
      </c>
      <c r="C249" s="21" t="s">
        <v>882</v>
      </c>
      <c r="D249" s="4" t="s">
        <v>881</v>
      </c>
      <c r="E249" s="3">
        <v>45489</v>
      </c>
      <c r="F249" s="166" t="s">
        <v>884</v>
      </c>
      <c r="G249" s="4" t="s">
        <v>885</v>
      </c>
      <c r="H249" s="138"/>
      <c r="I249" s="138"/>
      <c r="J249" s="67"/>
      <c r="K249" s="184">
        <v>11440</v>
      </c>
      <c r="L249" s="184">
        <v>11440</v>
      </c>
      <c r="M249" s="30" t="s">
        <v>129</v>
      </c>
      <c r="N249" s="2" t="s">
        <v>883</v>
      </c>
    </row>
    <row r="250" spans="2:14" ht="120" x14ac:dyDescent="0.25">
      <c r="B250" s="6" t="s">
        <v>886</v>
      </c>
      <c r="C250" s="21" t="s">
        <v>456</v>
      </c>
      <c r="D250" s="4" t="s">
        <v>887</v>
      </c>
      <c r="E250" s="3">
        <v>45490</v>
      </c>
      <c r="F250" s="166" t="s">
        <v>888</v>
      </c>
      <c r="G250" s="4" t="s">
        <v>889</v>
      </c>
      <c r="H250" s="138"/>
      <c r="I250" s="154"/>
      <c r="J250" s="67"/>
      <c r="K250" s="184">
        <f>5000+5000+5000</f>
        <v>15000</v>
      </c>
      <c r="L250" s="184">
        <f>5000+5000+5000+5000+80000+5000+5000+5000</f>
        <v>115000</v>
      </c>
      <c r="M250" s="30" t="s">
        <v>129</v>
      </c>
      <c r="N250" s="2" t="s">
        <v>890</v>
      </c>
    </row>
    <row r="251" spans="2:14" ht="60" x14ac:dyDescent="0.25">
      <c r="B251" s="177" t="s">
        <v>773</v>
      </c>
      <c r="C251" s="178" t="s">
        <v>699</v>
      </c>
      <c r="D251" s="143" t="s">
        <v>891</v>
      </c>
      <c r="E251" s="144">
        <v>45489</v>
      </c>
      <c r="F251" s="179" t="s">
        <v>892</v>
      </c>
      <c r="G251" s="180" t="s">
        <v>893</v>
      </c>
      <c r="H251" s="174"/>
      <c r="I251" s="193"/>
      <c r="J251" s="175"/>
      <c r="K251" s="176"/>
      <c r="L251" s="176">
        <v>9402.77</v>
      </c>
      <c r="M251" s="30" t="s">
        <v>130</v>
      </c>
      <c r="N251" s="165" t="s">
        <v>894</v>
      </c>
    </row>
    <row r="252" spans="2:14" ht="60" x14ac:dyDescent="0.25">
      <c r="B252" s="6" t="s">
        <v>773</v>
      </c>
      <c r="C252" s="21" t="s">
        <v>699</v>
      </c>
      <c r="D252" s="4" t="s">
        <v>895</v>
      </c>
      <c r="E252" s="3">
        <v>45490</v>
      </c>
      <c r="F252" s="115" t="s">
        <v>892</v>
      </c>
      <c r="G252" s="181" t="s">
        <v>896</v>
      </c>
      <c r="H252" s="138"/>
      <c r="I252" s="3"/>
      <c r="J252" s="67"/>
      <c r="K252" s="139"/>
      <c r="L252" s="139">
        <v>6905.52</v>
      </c>
      <c r="M252" s="30" t="s">
        <v>129</v>
      </c>
      <c r="N252" s="2" t="s">
        <v>897</v>
      </c>
    </row>
    <row r="253" spans="2:14" ht="60" x14ac:dyDescent="0.25">
      <c r="B253" s="6" t="s">
        <v>898</v>
      </c>
      <c r="C253" s="21" t="s">
        <v>899</v>
      </c>
      <c r="D253" s="4" t="s">
        <v>900</v>
      </c>
      <c r="E253" s="3">
        <v>45495</v>
      </c>
      <c r="F253" s="115" t="s">
        <v>892</v>
      </c>
      <c r="G253" s="182" t="s">
        <v>901</v>
      </c>
      <c r="H253" s="138"/>
      <c r="I253" s="67"/>
      <c r="J253" s="67"/>
      <c r="K253" s="139"/>
      <c r="L253" s="139">
        <v>1678.02</v>
      </c>
      <c r="M253" s="2" t="s">
        <v>130</v>
      </c>
      <c r="N253" s="2" t="s">
        <v>908</v>
      </c>
    </row>
    <row r="254" spans="2:14" ht="105" x14ac:dyDescent="0.25">
      <c r="B254" s="188" t="s">
        <v>992</v>
      </c>
      <c r="C254" s="21" t="s">
        <v>185</v>
      </c>
      <c r="D254" s="4" t="s">
        <v>902</v>
      </c>
      <c r="E254" s="27">
        <v>45397</v>
      </c>
      <c r="F254" s="10" t="s">
        <v>422</v>
      </c>
      <c r="G254" s="125" t="s">
        <v>903</v>
      </c>
      <c r="H254" s="184"/>
      <c r="I254" s="200"/>
      <c r="J254" s="73"/>
      <c r="K254" s="184">
        <f>136.57+26.93+35.63+122.83+5.95+32127.94+1285.12</f>
        <v>33740.97</v>
      </c>
      <c r="L254" s="184">
        <f>30053.69+122.83+35.63+26.93+136.57+3578.7+1038+784.39+3978.72+88858.71+25773.62+19476.31+98791.22+21.26+28.13+97+107.84+136.57+26.93+35.63+122.83+5.95+32127.94+1285.12</f>
        <v>306650.52000000008</v>
      </c>
      <c r="M254" s="30" t="s">
        <v>129</v>
      </c>
      <c r="N254" s="2"/>
    </row>
    <row r="255" spans="2:14" ht="105" x14ac:dyDescent="0.25">
      <c r="B255" s="188" t="s">
        <v>992</v>
      </c>
      <c r="C255" s="21" t="s">
        <v>185</v>
      </c>
      <c r="D255" s="4" t="s">
        <v>904</v>
      </c>
      <c r="E255" s="27">
        <v>45467</v>
      </c>
      <c r="F255" s="10" t="s">
        <v>422</v>
      </c>
      <c r="G255" s="125" t="s">
        <v>905</v>
      </c>
      <c r="H255" s="184"/>
      <c r="I255" s="200"/>
      <c r="J255" s="73"/>
      <c r="K255" s="184">
        <f>23.46+4.56+5.54+44.14+5.95+10383.93+415.36</f>
        <v>10882.94</v>
      </c>
      <c r="L255" s="184">
        <f>5739.81+23.46+4.46+5.54+44.14+683.48+130.02+161.44+1285.95+16970.69+3228.4+4008.39+31929.87+4.38+3.52+18.53+34.85+23.46+4.56+5.54+44.14+5.95+10383.93+415.36</f>
        <v>75159.869999999981</v>
      </c>
      <c r="M255" s="30" t="s">
        <v>129</v>
      </c>
      <c r="N255" s="2"/>
    </row>
    <row r="256" spans="2:14" ht="105" x14ac:dyDescent="0.25">
      <c r="B256" s="188" t="s">
        <v>992</v>
      </c>
      <c r="C256" s="21" t="s">
        <v>185</v>
      </c>
      <c r="D256" s="4" t="s">
        <v>906</v>
      </c>
      <c r="E256" s="27">
        <v>45503</v>
      </c>
      <c r="F256" s="10" t="s">
        <v>422</v>
      </c>
      <c r="G256" s="125" t="s">
        <v>907</v>
      </c>
      <c r="H256" s="184"/>
      <c r="I256" s="200"/>
      <c r="J256" s="73"/>
      <c r="K256" s="184">
        <f>149.07+23.31+16.75+134.09+5.85+35070.1+1402.8</f>
        <v>36801.97</v>
      </c>
      <c r="L256" s="184">
        <f>32805.91+134.09+16.75+23.31+149.09+3906.24+488.07+679.01+4343.08+96996.07+12118.75+16859.7+107838.17+18.4+13.23+105.88+117.72+149.07+23.31+16.75+134.09+5.85+35070.1+1402.8</f>
        <v>313415.43999999994</v>
      </c>
      <c r="M256" s="30" t="s">
        <v>129</v>
      </c>
      <c r="N256" s="2"/>
    </row>
    <row r="257" spans="2:14" ht="75" x14ac:dyDescent="0.25">
      <c r="B257" s="6" t="s">
        <v>427</v>
      </c>
      <c r="C257" s="12">
        <v>2073640134</v>
      </c>
      <c r="D257" s="4" t="s">
        <v>1048</v>
      </c>
      <c r="E257" s="27">
        <v>45537</v>
      </c>
      <c r="F257" s="40" t="s">
        <v>712</v>
      </c>
      <c r="G257" s="4" t="s">
        <v>1049</v>
      </c>
      <c r="H257" s="184"/>
      <c r="I257" s="189"/>
      <c r="J257" s="73"/>
      <c r="K257" s="184"/>
      <c r="L257" s="184">
        <v>4061.44</v>
      </c>
      <c r="M257" s="30" t="s">
        <v>130</v>
      </c>
      <c r="N257" s="2" t="s">
        <v>1051</v>
      </c>
    </row>
    <row r="258" spans="2:14" ht="120" x14ac:dyDescent="0.25">
      <c r="B258" s="6" t="s">
        <v>449</v>
      </c>
      <c r="C258" s="21" t="s">
        <v>450</v>
      </c>
      <c r="D258" s="4" t="s">
        <v>911</v>
      </c>
      <c r="E258" s="169">
        <v>45541</v>
      </c>
      <c r="F258" s="2" t="s">
        <v>940</v>
      </c>
      <c r="G258" s="4" t="s">
        <v>912</v>
      </c>
      <c r="H258" s="4"/>
      <c r="I258" s="40"/>
      <c r="J258" s="65"/>
      <c r="K258" s="46"/>
      <c r="L258" s="46">
        <v>48096</v>
      </c>
      <c r="M258" s="1" t="s">
        <v>130</v>
      </c>
      <c r="N258" s="2" t="s">
        <v>913</v>
      </c>
    </row>
    <row r="259" spans="2:14" ht="60" x14ac:dyDescent="0.25">
      <c r="B259" s="6" t="s">
        <v>918</v>
      </c>
      <c r="C259" s="21" t="s">
        <v>919</v>
      </c>
      <c r="D259" s="4" t="s">
        <v>921</v>
      </c>
      <c r="E259" s="3">
        <v>45531</v>
      </c>
      <c r="F259" s="1" t="s">
        <v>892</v>
      </c>
      <c r="G259" s="4" t="s">
        <v>922</v>
      </c>
      <c r="H259" s="138"/>
      <c r="I259" s="138"/>
      <c r="J259" s="67"/>
      <c r="K259" s="139"/>
      <c r="L259" s="139">
        <v>3687.36</v>
      </c>
      <c r="M259" s="1" t="s">
        <v>130</v>
      </c>
      <c r="N259" s="2" t="s">
        <v>920</v>
      </c>
    </row>
    <row r="260" spans="2:14" ht="60" x14ac:dyDescent="0.25">
      <c r="B260" s="6" t="s">
        <v>474</v>
      </c>
      <c r="C260" s="13" t="s">
        <v>475</v>
      </c>
      <c r="D260" s="4" t="s">
        <v>923</v>
      </c>
      <c r="E260" s="111">
        <v>45548</v>
      </c>
      <c r="F260" s="40" t="s">
        <v>543</v>
      </c>
      <c r="G260" s="5" t="s">
        <v>924</v>
      </c>
      <c r="H260" s="11"/>
      <c r="I260" s="104"/>
      <c r="J260" s="73"/>
      <c r="K260" s="45">
        <v>1229.1199999999999</v>
      </c>
      <c r="L260" s="45">
        <v>1229.1199999999999</v>
      </c>
      <c r="M260" s="30" t="s">
        <v>130</v>
      </c>
      <c r="N260" s="2" t="s">
        <v>925</v>
      </c>
    </row>
    <row r="261" spans="2:14" ht="60" x14ac:dyDescent="0.25">
      <c r="B261" s="6" t="s">
        <v>918</v>
      </c>
      <c r="C261" s="21" t="s">
        <v>919</v>
      </c>
      <c r="D261" s="4" t="s">
        <v>926</v>
      </c>
      <c r="E261" s="3">
        <v>45559</v>
      </c>
      <c r="F261" s="1" t="s">
        <v>892</v>
      </c>
      <c r="G261" s="4" t="s">
        <v>927</v>
      </c>
      <c r="H261" s="138"/>
      <c r="I261" s="138"/>
      <c r="J261" s="67"/>
      <c r="K261" s="139"/>
      <c r="L261" s="139">
        <v>4275.2</v>
      </c>
      <c r="M261" s="1" t="s">
        <v>130</v>
      </c>
      <c r="N261" s="2" t="s">
        <v>928</v>
      </c>
    </row>
    <row r="262" spans="2:14" ht="75" x14ac:dyDescent="0.25">
      <c r="B262" s="6" t="s">
        <v>314</v>
      </c>
      <c r="C262" s="21" t="s">
        <v>315</v>
      </c>
      <c r="D262" s="4" t="s">
        <v>929</v>
      </c>
      <c r="E262" s="29">
        <v>45560</v>
      </c>
      <c r="F262" s="40" t="s">
        <v>548</v>
      </c>
      <c r="G262" s="92" t="s">
        <v>930</v>
      </c>
      <c r="H262" s="61"/>
      <c r="I262" s="93"/>
      <c r="J262" s="73"/>
      <c r="K262" s="51"/>
      <c r="L262" s="51">
        <v>7227.23</v>
      </c>
      <c r="M262" s="30" t="s">
        <v>129</v>
      </c>
      <c r="N262" s="2" t="s">
        <v>931</v>
      </c>
    </row>
    <row r="263" spans="2:14" ht="75" x14ac:dyDescent="0.25">
      <c r="B263" s="6" t="s">
        <v>1032</v>
      </c>
      <c r="C263" s="13" t="s">
        <v>615</v>
      </c>
      <c r="D263" s="4" t="s">
        <v>934</v>
      </c>
      <c r="E263" s="3">
        <v>45579</v>
      </c>
      <c r="F263" s="1" t="s">
        <v>935</v>
      </c>
      <c r="G263" s="4" t="s">
        <v>936</v>
      </c>
      <c r="H263" s="138"/>
      <c r="I263" s="138"/>
      <c r="J263" s="67"/>
      <c r="K263" s="139"/>
      <c r="L263" s="140"/>
      <c r="M263" s="30" t="s">
        <v>129</v>
      </c>
      <c r="N263" s="2" t="s">
        <v>933</v>
      </c>
    </row>
    <row r="264" spans="2:14" ht="105" x14ac:dyDescent="0.25">
      <c r="B264" s="6" t="s">
        <v>942</v>
      </c>
      <c r="C264" s="13" t="s">
        <v>943</v>
      </c>
      <c r="D264" s="4" t="s">
        <v>944</v>
      </c>
      <c r="E264" s="129">
        <v>45607</v>
      </c>
      <c r="F264" s="1" t="s">
        <v>949</v>
      </c>
      <c r="G264" s="166" t="s">
        <v>945</v>
      </c>
      <c r="H264" s="138"/>
      <c r="I264" s="138"/>
      <c r="J264" s="67"/>
      <c r="K264" s="139"/>
      <c r="L264" s="140"/>
      <c r="M264" s="30" t="s">
        <v>129</v>
      </c>
      <c r="N264" s="2"/>
    </row>
    <row r="265" spans="2:14" ht="45" x14ac:dyDescent="0.25">
      <c r="B265" s="6" t="s">
        <v>946</v>
      </c>
      <c r="C265" s="13" t="s">
        <v>947</v>
      </c>
      <c r="D265" s="4" t="s">
        <v>948</v>
      </c>
      <c r="E265" s="129">
        <v>45610</v>
      </c>
      <c r="F265" s="1" t="s">
        <v>949</v>
      </c>
      <c r="G265" s="166" t="s">
        <v>950</v>
      </c>
      <c r="H265" s="138"/>
      <c r="I265" s="138"/>
      <c r="J265" s="67"/>
      <c r="K265" s="139"/>
      <c r="L265" s="140"/>
      <c r="M265" s="30" t="s">
        <v>129</v>
      </c>
      <c r="N265" s="2"/>
    </row>
    <row r="266" spans="2:14" ht="210" x14ac:dyDescent="0.25">
      <c r="B266" s="6" t="s">
        <v>449</v>
      </c>
      <c r="C266" s="21" t="s">
        <v>450</v>
      </c>
      <c r="D266" s="4" t="s">
        <v>937</v>
      </c>
      <c r="E266" s="169">
        <v>45616</v>
      </c>
      <c r="F266" s="40" t="s">
        <v>938</v>
      </c>
      <c r="G266" s="4" t="s">
        <v>941</v>
      </c>
      <c r="H266" s="4"/>
      <c r="I266" s="40"/>
      <c r="J266" s="65"/>
      <c r="K266" s="46"/>
      <c r="L266" s="46">
        <v>49164.800000000003</v>
      </c>
      <c r="M266" s="1" t="s">
        <v>130</v>
      </c>
      <c r="N266" s="2" t="s">
        <v>939</v>
      </c>
    </row>
    <row r="267" spans="2:14" ht="67.5" customHeight="1" x14ac:dyDescent="0.25">
      <c r="B267" s="6" t="s">
        <v>75</v>
      </c>
      <c r="C267" s="21" t="s">
        <v>78</v>
      </c>
      <c r="D267" s="4" t="s">
        <v>951</v>
      </c>
      <c r="E267" s="10">
        <v>45624</v>
      </c>
      <c r="F267" s="10" t="s">
        <v>952</v>
      </c>
      <c r="G267" s="80" t="s">
        <v>1042</v>
      </c>
      <c r="H267" s="73"/>
      <c r="I267" s="103"/>
      <c r="J267" s="73"/>
      <c r="K267" s="45"/>
      <c r="L267" s="11">
        <v>2000</v>
      </c>
      <c r="M267" s="30" t="s">
        <v>129</v>
      </c>
      <c r="N267" s="2" t="s">
        <v>953</v>
      </c>
    </row>
    <row r="268" spans="2:14" ht="90" x14ac:dyDescent="0.25">
      <c r="B268" s="35" t="s">
        <v>196</v>
      </c>
      <c r="C268" s="21" t="s">
        <v>197</v>
      </c>
      <c r="D268" s="4" t="s">
        <v>955</v>
      </c>
      <c r="E268" s="3">
        <v>45624</v>
      </c>
      <c r="F268" s="1" t="s">
        <v>956</v>
      </c>
      <c r="G268" s="4" t="s">
        <v>954</v>
      </c>
      <c r="H268" s="138"/>
      <c r="I268" s="138"/>
      <c r="J268" s="67"/>
      <c r="K268" s="141">
        <f>1740.72+2105.69</f>
        <v>3846.41</v>
      </c>
      <c r="L268" s="141">
        <f>1740.72+2105.69</f>
        <v>3846.41</v>
      </c>
      <c r="M268" s="30" t="s">
        <v>129</v>
      </c>
      <c r="N268" s="2" t="s">
        <v>961</v>
      </c>
    </row>
    <row r="269" spans="2:14" ht="90" x14ac:dyDescent="0.25">
      <c r="B269" s="6" t="s">
        <v>470</v>
      </c>
      <c r="C269" s="13" t="s">
        <v>471</v>
      </c>
      <c r="D269" s="4" t="s">
        <v>957</v>
      </c>
      <c r="E269" s="29">
        <v>45629</v>
      </c>
      <c r="F269" s="40" t="s">
        <v>958</v>
      </c>
      <c r="G269" s="92" t="s">
        <v>959</v>
      </c>
      <c r="H269" s="61" t="s">
        <v>1043</v>
      </c>
      <c r="I269" s="93">
        <v>45680</v>
      </c>
      <c r="J269" s="73" t="s">
        <v>1044</v>
      </c>
      <c r="K269" s="57">
        <v>10688</v>
      </c>
      <c r="L269" s="57">
        <v>10688</v>
      </c>
      <c r="M269" s="30" t="s">
        <v>130</v>
      </c>
      <c r="N269" s="2" t="s">
        <v>960</v>
      </c>
    </row>
    <row r="270" spans="2:14" ht="75" x14ac:dyDescent="0.25">
      <c r="B270" s="6" t="s">
        <v>688</v>
      </c>
      <c r="C270" s="13" t="s">
        <v>282</v>
      </c>
      <c r="D270" s="4" t="s">
        <v>962</v>
      </c>
      <c r="E270" s="29">
        <v>45617</v>
      </c>
      <c r="F270" s="40" t="s">
        <v>963</v>
      </c>
      <c r="G270" s="92" t="s">
        <v>964</v>
      </c>
      <c r="H270" s="44" t="s">
        <v>1047</v>
      </c>
      <c r="I270" s="93">
        <v>45698</v>
      </c>
      <c r="J270" s="73" t="s">
        <v>1044</v>
      </c>
      <c r="K270" s="51">
        <v>27000</v>
      </c>
      <c r="L270" s="57">
        <v>27000</v>
      </c>
      <c r="M270" s="30" t="s">
        <v>130</v>
      </c>
      <c r="N270" s="2" t="s">
        <v>965</v>
      </c>
    </row>
    <row r="271" spans="2:14" ht="90" x14ac:dyDescent="0.25">
      <c r="B271" s="6" t="s">
        <v>966</v>
      </c>
      <c r="C271" s="13" t="s">
        <v>967</v>
      </c>
      <c r="D271" s="4" t="s">
        <v>968</v>
      </c>
      <c r="E271" s="29">
        <v>45630</v>
      </c>
      <c r="F271" s="40" t="s">
        <v>969</v>
      </c>
      <c r="G271" s="92" t="s">
        <v>970</v>
      </c>
      <c r="H271" s="44"/>
      <c r="I271" s="93"/>
      <c r="J271" s="73"/>
      <c r="K271" s="51"/>
      <c r="L271" s="57"/>
      <c r="M271" s="30" t="s">
        <v>129</v>
      </c>
      <c r="N271" s="2" t="s">
        <v>971</v>
      </c>
    </row>
    <row r="272" spans="2:14" ht="180" x14ac:dyDescent="0.25">
      <c r="B272" s="6" t="s">
        <v>976</v>
      </c>
      <c r="C272" s="12" t="s">
        <v>975</v>
      </c>
      <c r="D272" s="4" t="s">
        <v>972</v>
      </c>
      <c r="E272" s="3">
        <v>45638</v>
      </c>
      <c r="F272" s="4" t="s">
        <v>973</v>
      </c>
      <c r="G272" s="4" t="s">
        <v>974</v>
      </c>
      <c r="H272" s="4"/>
      <c r="I272" s="40"/>
      <c r="J272" s="65"/>
      <c r="K272" s="48"/>
      <c r="L272" s="19"/>
      <c r="M272" s="30" t="s">
        <v>129</v>
      </c>
      <c r="N272" s="2" t="s">
        <v>1058</v>
      </c>
    </row>
    <row r="273" spans="2:14" ht="45" x14ac:dyDescent="0.25">
      <c r="B273" s="6" t="s">
        <v>977</v>
      </c>
      <c r="C273" s="13" t="s">
        <v>978</v>
      </c>
      <c r="D273" s="4" t="s">
        <v>979</v>
      </c>
      <c r="E273" s="3">
        <v>45642</v>
      </c>
      <c r="F273" s="2" t="s">
        <v>980</v>
      </c>
      <c r="G273" s="4" t="s">
        <v>981</v>
      </c>
      <c r="H273" s="44"/>
      <c r="I273" s="93"/>
      <c r="J273" s="73"/>
      <c r="K273" s="51"/>
      <c r="L273" s="57"/>
      <c r="M273" s="30" t="s">
        <v>129</v>
      </c>
      <c r="N273" s="2"/>
    </row>
    <row r="274" spans="2:14" ht="195" x14ac:dyDescent="0.25">
      <c r="B274" s="6" t="s">
        <v>982</v>
      </c>
      <c r="C274" s="13" t="s">
        <v>983</v>
      </c>
      <c r="D274" s="4" t="s">
        <v>985</v>
      </c>
      <c r="E274" s="3">
        <v>45645</v>
      </c>
      <c r="F274" s="1" t="s">
        <v>986</v>
      </c>
      <c r="G274" s="4" t="s">
        <v>987</v>
      </c>
      <c r="H274" s="44"/>
      <c r="I274" s="93"/>
      <c r="J274" s="73"/>
      <c r="K274" s="51"/>
      <c r="L274" s="57"/>
      <c r="M274" s="30" t="s">
        <v>129</v>
      </c>
      <c r="N274" s="2" t="s">
        <v>984</v>
      </c>
    </row>
    <row r="275" spans="2:14" ht="90" x14ac:dyDescent="0.25">
      <c r="B275" s="6" t="s">
        <v>918</v>
      </c>
      <c r="C275" s="21" t="s">
        <v>919</v>
      </c>
      <c r="D275" s="4" t="s">
        <v>988</v>
      </c>
      <c r="E275" s="3">
        <v>45646</v>
      </c>
      <c r="F275" s="1" t="s">
        <v>892</v>
      </c>
      <c r="G275" s="4" t="s">
        <v>989</v>
      </c>
      <c r="H275" s="138"/>
      <c r="I275" s="138"/>
      <c r="J275" s="67"/>
      <c r="K275" s="139"/>
      <c r="L275" s="140"/>
      <c r="M275" s="1" t="s">
        <v>129</v>
      </c>
      <c r="N275" s="2" t="s">
        <v>990</v>
      </c>
    </row>
    <row r="276" spans="2:14" ht="77.25" customHeight="1" x14ac:dyDescent="0.25">
      <c r="B276" s="6" t="s">
        <v>169</v>
      </c>
      <c r="C276" s="21">
        <v>12883390150</v>
      </c>
      <c r="D276" s="4" t="s">
        <v>1005</v>
      </c>
      <c r="E276" s="3">
        <v>45677</v>
      </c>
      <c r="F276" s="1" t="s">
        <v>1006</v>
      </c>
      <c r="G276" s="126" t="s">
        <v>1007</v>
      </c>
      <c r="H276" s="138"/>
      <c r="I276" s="138"/>
      <c r="J276" s="67"/>
      <c r="K276" s="139">
        <v>60000</v>
      </c>
      <c r="L276" s="139">
        <v>60000</v>
      </c>
      <c r="M276" s="1" t="s">
        <v>130</v>
      </c>
      <c r="N276" s="2" t="s">
        <v>1008</v>
      </c>
    </row>
    <row r="277" spans="2:14" ht="90" x14ac:dyDescent="0.25">
      <c r="B277" s="6" t="s">
        <v>1009</v>
      </c>
      <c r="C277" s="13" t="s">
        <v>1011</v>
      </c>
      <c r="D277" s="4" t="s">
        <v>356</v>
      </c>
      <c r="E277" s="26">
        <v>45677</v>
      </c>
      <c r="F277" s="4" t="s">
        <v>1013</v>
      </c>
      <c r="G277" s="153" t="s">
        <v>1012</v>
      </c>
      <c r="H277" s="139"/>
      <c r="I277" s="93"/>
      <c r="J277" s="73"/>
      <c r="K277" s="184">
        <f>1415.55+1415.55</f>
        <v>2831.1</v>
      </c>
      <c r="L277" s="184">
        <f>1415.55+1415.55</f>
        <v>2831.1</v>
      </c>
      <c r="M277" s="30" t="s">
        <v>129</v>
      </c>
      <c r="N277" s="2" t="s">
        <v>1010</v>
      </c>
    </row>
    <row r="278" spans="2:14" ht="90" x14ac:dyDescent="0.25">
      <c r="B278" s="6" t="s">
        <v>430</v>
      </c>
      <c r="C278" s="12" t="s">
        <v>431</v>
      </c>
      <c r="D278" s="8" t="s">
        <v>1014</v>
      </c>
      <c r="E278" s="26">
        <v>45694</v>
      </c>
      <c r="F278" s="40" t="s">
        <v>756</v>
      </c>
      <c r="G278" s="153" t="s">
        <v>1015</v>
      </c>
      <c r="H278" s="61"/>
      <c r="I278" s="93"/>
      <c r="J278" s="73"/>
      <c r="K278" s="57"/>
      <c r="L278" s="57"/>
      <c r="M278" s="96" t="s">
        <v>129</v>
      </c>
      <c r="N278" s="2" t="s">
        <v>1016</v>
      </c>
    </row>
    <row r="279" spans="2:14" ht="54" customHeight="1" x14ac:dyDescent="0.25">
      <c r="B279" s="6" t="s">
        <v>204</v>
      </c>
      <c r="C279" s="12">
        <v>1850570746</v>
      </c>
      <c r="D279" s="4" t="s">
        <v>1017</v>
      </c>
      <c r="E279" s="26">
        <v>45698</v>
      </c>
      <c r="F279" s="40" t="s">
        <v>1020</v>
      </c>
      <c r="G279" s="58" t="s">
        <v>1018</v>
      </c>
      <c r="H279" s="139" t="s">
        <v>1062</v>
      </c>
      <c r="I279" s="93">
        <v>45737</v>
      </c>
      <c r="J279" s="73" t="s">
        <v>1044</v>
      </c>
      <c r="K279" s="184">
        <v>9000</v>
      </c>
      <c r="L279" s="184">
        <v>9000</v>
      </c>
      <c r="M279" s="30" t="s">
        <v>130</v>
      </c>
      <c r="N279" s="198" t="s">
        <v>1019</v>
      </c>
    </row>
    <row r="280" spans="2:14" ht="101.25" customHeight="1" x14ac:dyDescent="0.25">
      <c r="B280" s="6" t="s">
        <v>76</v>
      </c>
      <c r="C280" s="13" t="s">
        <v>79</v>
      </c>
      <c r="D280" s="4" t="s">
        <v>82</v>
      </c>
      <c r="E280" s="26">
        <v>46003</v>
      </c>
      <c r="F280" s="4" t="s">
        <v>1022</v>
      </c>
      <c r="G280" s="153" t="s">
        <v>1060</v>
      </c>
      <c r="H280" s="139"/>
      <c r="I280" s="93"/>
      <c r="J280" s="73"/>
      <c r="K280" s="184">
        <f>5000+5000+5000</f>
        <v>15000</v>
      </c>
      <c r="L280" s="184">
        <f>5000+5000+5000</f>
        <v>15000</v>
      </c>
      <c r="M280" s="30" t="s">
        <v>129</v>
      </c>
      <c r="N280" s="2" t="s">
        <v>1021</v>
      </c>
    </row>
    <row r="281" spans="2:14" ht="45" x14ac:dyDescent="0.25">
      <c r="B281" s="6" t="s">
        <v>134</v>
      </c>
      <c r="C281" s="21" t="s">
        <v>135</v>
      </c>
      <c r="D281" s="4" t="s">
        <v>365</v>
      </c>
      <c r="E281" s="3">
        <v>45726</v>
      </c>
      <c r="F281" s="4" t="s">
        <v>1028</v>
      </c>
      <c r="G281" s="109" t="s">
        <v>1029</v>
      </c>
      <c r="H281" s="138"/>
      <c r="I281" s="138"/>
      <c r="J281" s="67"/>
      <c r="K281" s="139"/>
      <c r="L281" s="140"/>
      <c r="M281" s="2" t="s">
        <v>129</v>
      </c>
      <c r="N281" s="2" t="s">
        <v>1027</v>
      </c>
    </row>
    <row r="282" spans="2:14" ht="409.5" x14ac:dyDescent="0.25">
      <c r="B282" s="6" t="s">
        <v>7</v>
      </c>
      <c r="C282" s="13" t="s">
        <v>1001</v>
      </c>
      <c r="D282" s="4" t="s">
        <v>1000</v>
      </c>
      <c r="E282" s="3">
        <v>45727</v>
      </c>
      <c r="F282" s="2" t="s">
        <v>1002</v>
      </c>
      <c r="G282" s="197" t="s">
        <v>1003</v>
      </c>
      <c r="H282" s="32"/>
      <c r="I282" s="102"/>
      <c r="J282" s="73"/>
      <c r="K282" s="51"/>
      <c r="L282" s="11"/>
      <c r="M282" s="30" t="s">
        <v>129</v>
      </c>
      <c r="N282" s="2" t="s">
        <v>1004</v>
      </c>
    </row>
    <row r="283" spans="2:14" ht="63.75" customHeight="1" x14ac:dyDescent="0.25">
      <c r="B283" s="6" t="s">
        <v>28</v>
      </c>
      <c r="C283" s="12">
        <v>9730271005</v>
      </c>
      <c r="D283" s="4" t="s">
        <v>1030</v>
      </c>
      <c r="E283" s="3">
        <v>45728</v>
      </c>
      <c r="F283" s="4" t="s">
        <v>1031</v>
      </c>
      <c r="G283" s="197"/>
      <c r="H283" s="32"/>
      <c r="I283" s="102"/>
      <c r="J283" s="73"/>
      <c r="K283" s="51"/>
      <c r="L283" s="11"/>
      <c r="M283" s="30" t="s">
        <v>129</v>
      </c>
      <c r="N283" s="2"/>
    </row>
    <row r="284" spans="2:14" ht="45" customHeight="1" x14ac:dyDescent="0.25">
      <c r="B284" s="35" t="s">
        <v>857</v>
      </c>
      <c r="C284" s="21" t="s">
        <v>858</v>
      </c>
      <c r="D284" s="4" t="s">
        <v>1040</v>
      </c>
      <c r="E284" s="151">
        <v>45713</v>
      </c>
      <c r="F284" s="115" t="s">
        <v>1038</v>
      </c>
      <c r="G284" s="40" t="s">
        <v>1039</v>
      </c>
      <c r="H284" s="88"/>
      <c r="I284" s="3"/>
      <c r="J284" s="62"/>
      <c r="K284" s="47"/>
      <c r="L284" s="47"/>
      <c r="M284" s="30" t="s">
        <v>129</v>
      </c>
      <c r="N284" s="47"/>
    </row>
    <row r="285" spans="2:14" ht="60" customHeight="1" x14ac:dyDescent="0.25">
      <c r="B285" s="6" t="s">
        <v>726</v>
      </c>
      <c r="C285" s="21" t="s">
        <v>152</v>
      </c>
      <c r="D285" s="4" t="s">
        <v>1025</v>
      </c>
      <c r="E285" s="26">
        <v>45735</v>
      </c>
      <c r="F285" s="40" t="s">
        <v>1026</v>
      </c>
      <c r="G285" s="32">
        <v>20000</v>
      </c>
      <c r="H285" s="139"/>
      <c r="I285" s="93"/>
      <c r="J285" s="73"/>
      <c r="K285" s="184"/>
      <c r="L285" s="184"/>
      <c r="M285" s="199" t="s">
        <v>129</v>
      </c>
      <c r="N285" s="2" t="s">
        <v>1023</v>
      </c>
    </row>
    <row r="286" spans="2:14" ht="60" x14ac:dyDescent="0.25">
      <c r="B286" s="6" t="s">
        <v>474</v>
      </c>
      <c r="C286" s="21" t="s">
        <v>475</v>
      </c>
      <c r="D286" s="4" t="s">
        <v>1034</v>
      </c>
      <c r="E286" s="3">
        <v>45744</v>
      </c>
      <c r="F286" s="4" t="s">
        <v>1035</v>
      </c>
      <c r="G286" s="4" t="s">
        <v>1036</v>
      </c>
      <c r="H286" s="139"/>
      <c r="I286" s="93"/>
      <c r="J286" s="73"/>
      <c r="K286" s="184"/>
      <c r="L286" s="184"/>
      <c r="M286" s="199" t="s">
        <v>129</v>
      </c>
      <c r="N286" s="2" t="s">
        <v>1037</v>
      </c>
    </row>
    <row r="288" spans="2:14" ht="49.5" customHeight="1" x14ac:dyDescent="0.25">
      <c r="K288" s="63"/>
      <c r="L288" s="63"/>
      <c r="M288" s="63"/>
    </row>
    <row r="289" spans="11:13" x14ac:dyDescent="0.25">
      <c r="K289" s="63"/>
      <c r="L289" s="63"/>
      <c r="M289" s="63"/>
    </row>
    <row r="290" spans="11:13" x14ac:dyDescent="0.25">
      <c r="K290" s="63"/>
      <c r="L290" s="63"/>
      <c r="M290" s="63"/>
    </row>
    <row r="291" spans="11:13" x14ac:dyDescent="0.25">
      <c r="K291" s="63"/>
      <c r="L291" s="63"/>
      <c r="M291" s="63"/>
    </row>
  </sheetData>
  <autoFilter ref="B2:N287" xr:uid="{00000000-0001-0000-0000-000000000000}"/>
  <pageMargins left="0.7" right="0.7" top="0.75" bottom="0.75" header="0.3" footer="0.3"/>
  <pageSetup paperSize="9" orientation="portrait" r:id="rId1"/>
  <ignoredErrors>
    <ignoredError sqref="G12:G13 G17 G28 G32 G70 G72 G151 C213:C215 C15:C190 C230 C217:C228 C192:C211 C258:C286 C233:C25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B1:J7"/>
  <sheetViews>
    <sheetView showGridLines="0" zoomScale="70" zoomScaleNormal="70" workbookViewId="0">
      <pane ySplit="1" topLeftCell="A2" activePane="bottomLeft" state="frozen"/>
      <selection pane="bottomLeft" activeCell="B2" sqref="B2"/>
    </sheetView>
  </sheetViews>
  <sheetFormatPr defaultColWidth="20.7109375" defaultRowHeight="80.25" customHeight="1" x14ac:dyDescent="0.25"/>
  <cols>
    <col min="1" max="1" width="4.28515625" customWidth="1"/>
    <col min="2" max="3" width="25.7109375" customWidth="1"/>
    <col min="4" max="4" width="55.85546875" style="8" customWidth="1"/>
    <col min="5" max="5" width="25.7109375" style="7" customWidth="1"/>
    <col min="6" max="6" width="30.7109375" style="7" customWidth="1"/>
    <col min="7" max="7" width="40.7109375" style="22" customWidth="1"/>
    <col min="8" max="8" width="30.7109375" style="18" customWidth="1"/>
    <col min="9" max="9" width="30.7109375" customWidth="1"/>
    <col min="10" max="10" width="22" customWidth="1"/>
  </cols>
  <sheetData>
    <row r="1" spans="2:10" ht="56.25" customHeight="1" x14ac:dyDescent="0.25">
      <c r="C1" s="14"/>
      <c r="D1" s="173" t="s">
        <v>995</v>
      </c>
    </row>
    <row r="2" spans="2:10" ht="80.25" customHeight="1" x14ac:dyDescent="0.25">
      <c r="B2" s="156" t="s">
        <v>727</v>
      </c>
      <c r="C2" s="156" t="s">
        <v>71</v>
      </c>
      <c r="D2" s="156" t="s">
        <v>1</v>
      </c>
      <c r="E2" s="156" t="s">
        <v>2</v>
      </c>
      <c r="F2" s="156" t="s">
        <v>18</v>
      </c>
      <c r="G2" s="168" t="s">
        <v>74</v>
      </c>
      <c r="H2" s="167" t="s">
        <v>998</v>
      </c>
      <c r="I2" s="167" t="s">
        <v>999</v>
      </c>
      <c r="J2" s="156" t="s">
        <v>132</v>
      </c>
    </row>
    <row r="3" spans="2:10" ht="90" x14ac:dyDescent="0.25">
      <c r="B3" s="6" t="s">
        <v>137</v>
      </c>
      <c r="C3" s="13" t="s">
        <v>138</v>
      </c>
      <c r="D3" s="4" t="s">
        <v>341</v>
      </c>
      <c r="E3" s="29">
        <v>43067</v>
      </c>
      <c r="F3" s="4" t="s">
        <v>417</v>
      </c>
      <c r="G3" s="124" t="s">
        <v>418</v>
      </c>
      <c r="H3" s="52"/>
      <c r="I3" s="52">
        <f>2426081.43+252154.04+84051.35+114615.46+114615.46+36600</f>
        <v>3028117.74</v>
      </c>
      <c r="J3" s="30" t="s">
        <v>130</v>
      </c>
    </row>
    <row r="4" spans="2:10" ht="80.25" customHeight="1" x14ac:dyDescent="0.25">
      <c r="B4" s="6" t="s">
        <v>399</v>
      </c>
      <c r="C4" s="94" t="s">
        <v>400</v>
      </c>
      <c r="D4" s="95" t="s">
        <v>401</v>
      </c>
      <c r="E4" s="122">
        <v>44238</v>
      </c>
      <c r="F4" s="29" t="s">
        <v>397</v>
      </c>
      <c r="G4" s="25" t="s">
        <v>398</v>
      </c>
      <c r="H4" s="51"/>
      <c r="I4" s="51">
        <f>31795.07+91200+19007.12+116800</f>
        <v>258802.19</v>
      </c>
      <c r="J4" s="30" t="s">
        <v>129</v>
      </c>
    </row>
    <row r="5" spans="2:10" ht="225" x14ac:dyDescent="0.25">
      <c r="B5" s="6" t="s">
        <v>466</v>
      </c>
      <c r="C5" s="94">
        <v>10926800961</v>
      </c>
      <c r="D5" s="95" t="s">
        <v>467</v>
      </c>
      <c r="E5" s="122" t="s">
        <v>728</v>
      </c>
      <c r="F5" s="31" t="s">
        <v>468</v>
      </c>
      <c r="G5" s="5" t="s">
        <v>469</v>
      </c>
      <c r="H5" s="51"/>
      <c r="I5" s="51">
        <f>43832.03+120441.82+422826.62+46393.4+422826.62-22438.48+422826.62</f>
        <v>1456708.63</v>
      </c>
      <c r="J5" s="30" t="s">
        <v>129</v>
      </c>
    </row>
    <row r="6" spans="2:10" ht="80.25" customHeight="1" x14ac:dyDescent="0.25">
      <c r="B6" s="35" t="s">
        <v>479</v>
      </c>
      <c r="C6" s="94">
        <v>13264231005</v>
      </c>
      <c r="D6" s="95" t="s">
        <v>480</v>
      </c>
      <c r="E6" s="122">
        <v>44476</v>
      </c>
      <c r="F6" s="31" t="s">
        <v>481</v>
      </c>
      <c r="G6" s="133" t="s">
        <v>482</v>
      </c>
      <c r="H6" s="51">
        <v>57187.26</v>
      </c>
      <c r="I6" s="51">
        <f>14952.91+32167.83+7089.65+57187.26+57187.26</f>
        <v>168584.91</v>
      </c>
      <c r="J6" s="30" t="s">
        <v>129</v>
      </c>
    </row>
    <row r="7" spans="2:10" ht="105" x14ac:dyDescent="0.25">
      <c r="B7" s="6" t="s">
        <v>137</v>
      </c>
      <c r="C7" s="13" t="s">
        <v>138</v>
      </c>
      <c r="D7" s="4" t="s">
        <v>591</v>
      </c>
      <c r="E7" s="26" t="s">
        <v>799</v>
      </c>
      <c r="F7" s="4" t="s">
        <v>798</v>
      </c>
      <c r="G7" s="109" t="s">
        <v>797</v>
      </c>
      <c r="H7" s="52"/>
      <c r="I7" s="52">
        <f>171909.11+171909.11+171909.11+85954.56+85954.56+92830.96+92830.96+92830.96+36000+73200+73200+73200</f>
        <v>1221729.3299999998</v>
      </c>
      <c r="J7" s="30" t="s">
        <v>129</v>
      </c>
    </row>
  </sheetData>
  <autoFilter ref="B2:J7" xr:uid="{04080899-02F7-46BD-9683-94657A05B4A3}"/>
  <pageMargins left="0.7" right="0.7" top="0.75" bottom="0.75" header="0.3" footer="0.3"/>
  <pageSetup paperSize="9" orientation="portrait" r:id="rId1"/>
  <ignoredErrors>
    <ignoredError sqref="C3:C4 C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De Maio</dc:creator>
  <cp:lastModifiedBy>Alfonso De Maio</cp:lastModifiedBy>
  <dcterms:created xsi:type="dcterms:W3CDTF">2016-10-17T11:15:36Z</dcterms:created>
  <dcterms:modified xsi:type="dcterms:W3CDTF">2025-04-29T09:43:51Z</dcterms:modified>
</cp:coreProperties>
</file>