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K:\AFC\ODV - organismo di vigilanza reportistica\report\2022\01042022-30062022\"/>
    </mc:Choice>
  </mc:AlternateContent>
  <xr:revisionPtr revIDLastSave="0" documentId="13_ncr:1_{5D8C311B-B606-47C3-99F5-FBF341768E15}" xr6:coauthVersionLast="47" xr6:coauthVersionMax="47" xr10:uidLastSave="{00000000-0000-0000-0000-000000000000}"/>
  <bookViews>
    <workbookView xWindow="-120" yWindow="-120" windowWidth="29040" windowHeight="15840" activeTab="1" xr2:uid="{00000000-000D-0000-FFFF-FFFF00000000}"/>
  </bookViews>
  <sheets>
    <sheet name="Riepilogo Contratti Passivi" sheetId="1" r:id="rId1"/>
    <sheet name="Riepilogo Contratti Attivi" sheetId="2" r:id="rId2"/>
  </sheets>
  <definedNames>
    <definedName name="_xlnm._FilterDatabase" localSheetId="1" hidden="1">'Riepilogo Contratti Attivi'!$B$5:$J$9</definedName>
    <definedName name="_xlnm._FilterDatabase" localSheetId="0" hidden="1">'Riepilogo Contratti Passivi'!$B$5:$M$177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9" i="1" l="1"/>
  <c r="L26" i="1"/>
  <c r="L156" i="1"/>
  <c r="L115" i="1"/>
  <c r="L39" i="1" l="1"/>
  <c r="K39" i="1"/>
  <c r="L113" i="1" l="1"/>
  <c r="K113" i="1"/>
  <c r="K115" i="1"/>
  <c r="L164" i="1"/>
  <c r="K164" i="1"/>
  <c r="L133" i="1"/>
  <c r="K133" i="1"/>
  <c r="L50" i="1"/>
  <c r="K50" i="1"/>
  <c r="L153" i="1"/>
  <c r="K153" i="1"/>
  <c r="K119" i="1" l="1"/>
  <c r="L119" i="1"/>
  <c r="L67" i="1" l="1"/>
  <c r="K67" i="1"/>
  <c r="L134" i="1"/>
  <c r="K134" i="1"/>
  <c r="L44" i="1"/>
  <c r="K44" i="1"/>
  <c r="L121" i="1"/>
  <c r="K121" i="1"/>
  <c r="L34" i="1"/>
  <c r="K34" i="1"/>
  <c r="L95" i="1" l="1"/>
  <c r="L120" i="1"/>
  <c r="K120" i="1"/>
  <c r="I6" i="2" l="1"/>
  <c r="H6" i="2"/>
  <c r="L48" i="1"/>
  <c r="L159" i="1"/>
  <c r="L145" i="1"/>
  <c r="L96" i="1"/>
  <c r="L103" i="1" l="1"/>
  <c r="K103" i="1"/>
  <c r="L142" i="1"/>
  <c r="K142" i="1"/>
  <c r="L118" i="1"/>
  <c r="K118" i="1"/>
  <c r="L62" i="1" l="1"/>
  <c r="L10" i="1"/>
  <c r="L92" i="1" l="1"/>
  <c r="L141" i="1" l="1"/>
  <c r="L18" i="1"/>
  <c r="L17" i="1" l="1"/>
  <c r="L138" i="1" l="1"/>
  <c r="L106" i="1" l="1"/>
  <c r="L43" i="1"/>
  <c r="L21" i="1" l="1"/>
  <c r="L40" i="1"/>
  <c r="L57" i="1" l="1"/>
  <c r="L88" i="1" l="1"/>
  <c r="L71" i="1"/>
  <c r="L135" i="1" l="1"/>
  <c r="L129" i="1"/>
  <c r="L86" i="1"/>
  <c r="L83" i="1"/>
  <c r="L108" i="1" l="1"/>
  <c r="L80" i="1"/>
  <c r="L105" i="1" l="1"/>
  <c r="L124" i="1"/>
  <c r="L73" i="1" l="1"/>
  <c r="L90" i="1" l="1"/>
  <c r="L100" i="1" l="1"/>
  <c r="L45" i="1"/>
  <c r="L47" i="1" l="1"/>
  <c r="L70" i="1"/>
  <c r="L49" i="1" l="1"/>
  <c r="G62" i="1" l="1"/>
  <c r="L64" i="1" l="1"/>
  <c r="L89" i="1"/>
  <c r="L41" i="1" l="1"/>
  <c r="G34" i="1" l="1"/>
  <c r="L74" i="1" l="1"/>
  <c r="L52" i="1" l="1"/>
  <c r="L54" i="1" l="1"/>
  <c r="L56" i="1" l="1"/>
  <c r="L46" i="1" l="1"/>
  <c r="L72" i="1"/>
  <c r="G72" i="1" l="1"/>
  <c r="L29" i="1" l="1"/>
  <c r="L24" i="1"/>
  <c r="L79" i="1" l="1"/>
  <c r="L93" i="1"/>
  <c r="L65" i="1" l="1"/>
  <c r="L78" i="1" l="1"/>
  <c r="L33" i="1" l="1"/>
  <c r="L58" i="1" l="1"/>
  <c r="L31" i="1" l="1"/>
  <c r="L42" i="1"/>
  <c r="L66" i="1" l="1"/>
  <c r="L36" i="1" l="1"/>
  <c r="L7" i="1"/>
  <c r="L68" i="1" l="1"/>
  <c r="G68" i="1"/>
  <c r="L55" i="1"/>
  <c r="L63" i="1" l="1"/>
  <c r="L38" i="1" l="1"/>
  <c r="L27" i="1" l="1"/>
  <c r="L53" i="1" l="1"/>
  <c r="L35" i="1" l="1"/>
  <c r="L28" i="1" l="1"/>
  <c r="L37" i="1" l="1"/>
  <c r="L22" i="1"/>
  <c r="G38" i="1" l="1"/>
  <c r="L23" i="1" l="1"/>
  <c r="L8" i="1" l="1"/>
</calcChain>
</file>

<file path=xl/sharedStrings.xml><?xml version="1.0" encoding="utf-8"?>
<sst xmlns="http://schemas.openxmlformats.org/spreadsheetml/2006/main" count="991" uniqueCount="631">
  <si>
    <t>FORNITORE</t>
  </si>
  <si>
    <t>NATURA INCARICO</t>
  </si>
  <si>
    <t>DATA SOTTOSCRIZIONE</t>
  </si>
  <si>
    <t>14/04/2016-13/04/2018</t>
  </si>
  <si>
    <t>- Giudizio sul bilancio 
- regolare tenuta della contabilità
- revisione contabile del reporting package annuale e revisione contabile limitata del reporting package semestrale
- verifica modelli 770 semplificato e ordinario
- verifica modelli dichiarazione dei redditi Unico e IRAP</t>
  </si>
  <si>
    <t>Servizi di conservazione ditigale di documenti rilevanti ai fini tributari</t>
  </si>
  <si>
    <t>Triennio 2015-2017</t>
  </si>
  <si>
    <t>il contratto avrà termine all'ultimazione delle attività di rimozione completa delle interferenze degli operatori TLC</t>
  </si>
  <si>
    <t>Accordo quadro SIRTI - M4  attività connesse alla risoluzione delle interferenze; ordini attuativi assegnati a SIRTI dalla Concessionaria a seguito della formalizzazione di apposita ordinanza</t>
  </si>
  <si>
    <t>SIRTI SpA/M4</t>
  </si>
  <si>
    <t>DELOITTE &amp; TOUCHE SpA/M4</t>
  </si>
  <si>
    <t>SIRTI SpA/M4/FASTWEB</t>
  </si>
  <si>
    <t>SIRTI SpA/M4/TIM</t>
  </si>
  <si>
    <t>SIRTI SpA/M4/VERIZON</t>
  </si>
  <si>
    <t>SIRTI SpA/M4/METROWEB</t>
  </si>
  <si>
    <t>si veda contratto principale SIRTI SpA/M4</t>
  </si>
  <si>
    <t>L'accordo regola i rapporti tra Fastweb, M4 e SIRTI per la corretta esecuzione dell'intervento di risoluzione delle interferenze di cui al provvedimento del Comune di Milano, ordinanza 5/2016 del 30/06/2016 nonché ulteriori interventi di risoluzione interferenze richiesti dal Comune con ulteriori ordinanze</t>
  </si>
  <si>
    <t>L'accordo regola i rapporti tra TIM, M4 e SIRTI per la corretta esecuzione dell'intervento di risoluzione delle interferenze di cui al provvedimento del Comune di Milano PROT. pg 149700/2016 del 18/3/2016 nonché ulteriori interventi di risoluzione interferenze richiesti dal Comune con ulteriori ordinanze</t>
  </si>
  <si>
    <t>L'accordo regola i rapporti tra VERIZON, M4 e SIRTI per la corretta esecuzione dell'intervento di risoluzione delle interferenze di cui al provvedimento del Comune di Milano ordinanza n. 3/2016 del 30/6/2016  nonché ulteriori interventi di risoluzione interferenze richiesti dal Comune con ulteriori ordinanze</t>
  </si>
  <si>
    <t>L'accordo regola i rapporti tra METROWEB, M4 e SIRTI per la corretta esecuzione dell'intervento di risoluzione delle interferenze di cui al provvedimento del Comune di Milano ordinanza n. 7/2016 del 30/6/2016  nonché ulteriori interventi di risoluzione interferenze richiesti dal Comune con ulteriori ordinanze</t>
  </si>
  <si>
    <t>GEOCONSULT SERVICE Srl</t>
  </si>
  <si>
    <t>Affidamento temporaneo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</si>
  <si>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Consulenza assicurativa successiva alla fase di financial close</t>
  </si>
  <si>
    <t>MARSH SpA</t>
  </si>
  <si>
    <t>Consulenza tecnica e ambientale per i finanziatori - monitoraggio bimestrale durante la fase di costruzione</t>
  </si>
  <si>
    <t>DURATA / SCADENZA</t>
  </si>
  <si>
    <t>ARUP ITALIA Srl</t>
  </si>
  <si>
    <t>Servizi di assistenza legale per M4 SPA</t>
  </si>
  <si>
    <t>GIUSPUBBLICISTI ASSOCIATI SPA</t>
  </si>
  <si>
    <t>Servizio di licenza d'uso piattaforma informatica Legolas</t>
  </si>
  <si>
    <t>Affidamento delle attività di consulente legale in relazione al contratto di finanziamento project per la progettazione, costruzione e gestione della Linea Metropolitana di Milano S. Cristoforo - Linate</t>
  </si>
  <si>
    <t>Servizi di consulenza legale in relazione all'esecuzione del contratto di finanziamento relativo alla progettazione, alla costruzione e all'esercizio  della M4_ prestazioni svolte dallo studio successivamente alla prima erogazione (31/07/2015) ai sensi del Contratto di Finanziamento in qualità di consulente legale dei Finanziatori</t>
  </si>
  <si>
    <t>Il Contratto viene rinnovato di anno in anno salvo disdetta entro la data del 15 ottobre.</t>
  </si>
  <si>
    <t>Rate orario 9,35759 e importo ticket 11,000</t>
  </si>
  <si>
    <t>SALINI-IMPREGILO SpA</t>
  </si>
  <si>
    <t>ADECCO ITALIA SpA</t>
  </si>
  <si>
    <t>LEGANCE AVVOCATI ASSOCIATI</t>
  </si>
  <si>
    <t>3.800 € per utenze fino a 4 postazioni
2.800 € per utenze oltre a 5 postazioni</t>
  </si>
  <si>
    <t>CHIOMENTI STUDIO LEGALE</t>
  </si>
  <si>
    <t>Disciplinare di incarico per lo svolgimento delle attività del Broker di assicurazione a favore di SPV LINEA M4 fuori dall'ambito delle polizze contrattuali</t>
  </si>
  <si>
    <t>nessun compenso previsto</t>
  </si>
  <si>
    <t>AON SpA</t>
  </si>
  <si>
    <t>Legale che segue la Causa Immobiliare Ronchetto</t>
  </si>
  <si>
    <t>Rate orario 11,8421 e importo ticket 11,000</t>
  </si>
  <si>
    <t>Contratto lavoro a tempo determinato (Arena) - proroga</t>
  </si>
  <si>
    <t>Service SAP - rinnovo</t>
  </si>
  <si>
    <t>CONSUL SYSTEM</t>
  </si>
  <si>
    <t>Accordo quadro di collaborazione e di cessione dei diritti relativi a Certificati bianchi (TEE)</t>
  </si>
  <si>
    <t>fino adempimento Accordi Individuali</t>
  </si>
  <si>
    <t>prezzo medio ponderato TEE rilasciato dal GSE scontato del 15%</t>
  </si>
  <si>
    <t>Incarico apposizione visto di conformità Dichiarazione IVA 2017</t>
  </si>
  <si>
    <t>All'apposizione della sottoscrizione della Dichiarazione IVA 2017</t>
  </si>
  <si>
    <t>Prestazioni integrative sui bilanci chiusi al 31/12/2016 e 31/12/2017 (impatto nuovi Principi Contabili a seguito D.Lgs 139/2015)</t>
  </si>
  <si>
    <t>Biennio 2016-2017</t>
  </si>
  <si>
    <t>Leasing ed assistenza tecnica full service su macchine fotocopiatrici</t>
  </si>
  <si>
    <t>BNP PARIBAS LEASING SOLUTIONS /DUPLEX</t>
  </si>
  <si>
    <t>SGS SERTEC</t>
  </si>
  <si>
    <t>Responsabile Lavori</t>
  </si>
  <si>
    <t>Servizio di pulizie uffici M4</t>
  </si>
  <si>
    <t>DESIREE soc. coop.</t>
  </si>
  <si>
    <t xml:space="preserve">SIRTI/M4 </t>
  </si>
  <si>
    <t>Realizzazione opere Civili di interconnessione reti - Prima fase</t>
  </si>
  <si>
    <t>a completamento delle attività</t>
  </si>
  <si>
    <t>54.467,25€</t>
  </si>
  <si>
    <t>Realizzazione cameretta via Foppa Washington</t>
  </si>
  <si>
    <t>18.000€</t>
  </si>
  <si>
    <t xml:space="preserve">SGI di GIURIOLO ENRICO &amp; C. SAS </t>
  </si>
  <si>
    <t>5.000€</t>
  </si>
  <si>
    <t>termine del giudizio causa Immobiliare Ronchetto</t>
  </si>
  <si>
    <t>€ 19.740 più variabile a consumo in base al numero di copie fatte</t>
  </si>
  <si>
    <t xml:space="preserve">36.800€ </t>
  </si>
  <si>
    <t>COMUNE DI MILANO</t>
  </si>
  <si>
    <t>12 ANNI</t>
  </si>
  <si>
    <t>Affitto uffici P.zza Castello</t>
  </si>
  <si>
    <t>183.825€ + rivalutazione annuale ISTAT</t>
  </si>
  <si>
    <t>STUDIO GIOVANARDI E ASSOCIATI</t>
  </si>
  <si>
    <t>Consulenza legale causa M4/Metroweb SpA</t>
  </si>
  <si>
    <t>8.000€ prima fase
15.000€ assistenza giudiziale</t>
  </si>
  <si>
    <t>termine attività di difesa per conto della Società M4</t>
  </si>
  <si>
    <t>INTEGRA DOCUMENT MANAGEMENT S.R.L./M4</t>
  </si>
  <si>
    <t>METROPOLITANA MILANESE SpA</t>
  </si>
  <si>
    <t>P.IVA/C.F.</t>
  </si>
  <si>
    <t>01594820449</t>
  </si>
  <si>
    <t>01146510498</t>
  </si>
  <si>
    <t>IMPORTO CONTRATTUALE/ORDINE</t>
  </si>
  <si>
    <t>INNOVA MCA SRL</t>
  </si>
  <si>
    <t>CAR CENTRAL PARKING SRL</t>
  </si>
  <si>
    <t>09502580153</t>
  </si>
  <si>
    <t>08236990969</t>
  </si>
  <si>
    <t>08396260963</t>
  </si>
  <si>
    <t>Rilascio di un parere legale in tema di disciplina delle assunzioni da parte delle società partecipate da Amministrazioni pubbliche in relazione alle novità introdotte dal D.lgs 175/2016</t>
  </si>
  <si>
    <t>Servizio di assistenza in ambito salute, sicurezza e antincendio degli uffici di M4 SPA e di formazione per il personale dipendente</t>
  </si>
  <si>
    <t xml:space="preserve">Contratto di affitto di n. 25 spazi di sosta all'interno dell'autosilo a disposizione del personale dell'Università degli Studi di Milano </t>
  </si>
  <si>
    <t>non oltre 90 gg dalla sottoscrizione dell'incarico</t>
  </si>
  <si>
    <t>annuale</t>
  </si>
  <si>
    <t>1.500€+250€ per gestione sicurezza e apprestamenti antincendio
4 ore * 4 sessioni *300 euro * organico in forza per corso di formazion LBG generale
4 ore * 4 sessioni *300 euro * organico in forza per corso di formazion Lbsb specifico</t>
  </si>
  <si>
    <t>GEOTECHNICAL DESIGN GROUP SRL</t>
  </si>
  <si>
    <t xml:space="preserve">stimati 36 mesi, periodo equivalente a tutta la durata del cantiere per la relizzazione della futura stazione Sforza Policlinico </t>
  </si>
  <si>
    <t>ITALIANA AUDION SRL</t>
  </si>
  <si>
    <t xml:space="preserve">Noleggio affrancatrice postale </t>
  </si>
  <si>
    <t>annuale con tacito rinnovo salvo disdetta da inviare tramite raccomandata A/R entro 30gg dalla scadenza del contratto</t>
  </si>
  <si>
    <t>01742310152</t>
  </si>
  <si>
    <t>Affidamento delle attività di Direzione Lavori relative alla fase di progettazione esecutiva, costruttiva e realizzativa della Linea Metropolitana M4</t>
  </si>
  <si>
    <t>dal 01/07/2017 al 30/04/2022</t>
  </si>
  <si>
    <t>11.365.135,21 oltre 4% CNPAIA e Iva</t>
  </si>
  <si>
    <t>EXPROPRIANDA Srl</t>
  </si>
  <si>
    <t>INTERFIELD</t>
  </si>
  <si>
    <t>02833870153</t>
  </si>
  <si>
    <t>Servizio di consulente del lavoro ed amministrazione del personale</t>
  </si>
  <si>
    <t>tra anni dalla sottoscrizione</t>
  </si>
  <si>
    <t>37.500 escluso Iva</t>
  </si>
  <si>
    <t xml:space="preserve">DANOVI &amp; GIORGIANNI ASSOCIATI E COMMERCIALISTI </t>
  </si>
  <si>
    <t>Advisor fiscale</t>
  </si>
  <si>
    <t>Il compenso per le prestazioni svolte nel periodo 15/6/2016-28/02/2017 e quelli che saranno dovuti per il servizio reso dal 01/03/17-30/04/17 non potranno superare i 40.000€ iva esclusa</t>
  </si>
  <si>
    <r>
      <rPr>
        <sz val="11"/>
        <color theme="1"/>
        <rFont val="Calibri"/>
        <family val="2"/>
      </rPr>
      <t>40.000 €</t>
    </r>
  </si>
  <si>
    <r>
      <t xml:space="preserve">importo massimo </t>
    </r>
    <r>
      <rPr>
        <sz val="11"/>
        <color theme="1"/>
        <rFont val="Calibri"/>
        <family val="2"/>
      </rPr>
      <t>60.000 €</t>
    </r>
  </si>
  <si>
    <r>
      <t xml:space="preserve">importo massimo </t>
    </r>
    <r>
      <rPr>
        <sz val="11"/>
        <color theme="1"/>
        <rFont val="Calibri"/>
        <family val="2"/>
      </rPr>
      <t>209.000 €</t>
    </r>
  </si>
  <si>
    <t>200.000€ oltre CPA e Iva</t>
  </si>
  <si>
    <r>
      <rPr>
        <sz val="11"/>
        <color theme="1"/>
        <rFont val="Calibri"/>
        <family val="2"/>
      </rPr>
      <t xml:space="preserve">18.400€
9.500€ </t>
    </r>
    <r>
      <rPr>
        <sz val="11"/>
        <color theme="1"/>
        <rFont val="Calibri"/>
        <family val="2"/>
        <scheme val="minor"/>
      </rPr>
      <t>(ANNUALE)</t>
    </r>
  </si>
  <si>
    <r>
      <t xml:space="preserve">Revisione Legale: 22.000€
Revisione Reporting package semestrale: 3.000€
Verifica regolare tenuta della contabilità: 4.000€
sottoscrizione dichiarazioni fiscali: 1.000€
TOTALE: </t>
    </r>
    <r>
      <rPr>
        <sz val="11"/>
        <color theme="1"/>
        <rFont val="Calibri"/>
        <family val="2"/>
      </rPr>
      <t>30.000 (annuale)</t>
    </r>
    <r>
      <rPr>
        <sz val="11"/>
        <color theme="1"/>
        <rFont val="Calibri"/>
        <family val="2"/>
        <scheme val="minor"/>
      </rPr>
      <t xml:space="preserve">
Si aggiungono rimborsi spese fino al 5% del valore contrattuale</t>
    </r>
  </si>
  <si>
    <r>
      <rPr>
        <sz val="11"/>
        <color theme="1"/>
        <rFont val="Calibri"/>
        <family val="2"/>
      </rPr>
      <t>4.000€ (per visto di conformità)</t>
    </r>
    <r>
      <rPr>
        <sz val="11"/>
        <color theme="1"/>
        <rFont val="Calibri"/>
        <family val="2"/>
        <scheme val="minor"/>
      </rPr>
      <t xml:space="preserve">
Si aggiungono rimborsi spese fino al 5% del valore contrattuale</t>
    </r>
  </si>
  <si>
    <r>
      <t xml:space="preserve">Valore massimo </t>
    </r>
    <r>
      <rPr>
        <sz val="11"/>
        <color theme="1"/>
        <rFont val="Calibri"/>
        <family val="2"/>
      </rPr>
      <t>10.000.000€</t>
    </r>
  </si>
  <si>
    <t>ARCUS FINANCIAL ADVISORS SRL</t>
  </si>
  <si>
    <t xml:space="preserve">Consulente della società per la costruzione e assistenza di un modello finanziario 
</t>
  </si>
  <si>
    <t>136.350 escluso Iva e contributi previdenziali</t>
  </si>
  <si>
    <t>ALD AUTOMOTIVE</t>
  </si>
  <si>
    <t>01924961004</t>
  </si>
  <si>
    <t xml:space="preserve">Noleggio auto </t>
  </si>
  <si>
    <t>48 mesi</t>
  </si>
  <si>
    <t>24.672 escluso iva</t>
  </si>
  <si>
    <t>Consulente Hedging</t>
  </si>
  <si>
    <t>36.000 escluso Iva</t>
  </si>
  <si>
    <t>LEASYS SPA</t>
  </si>
  <si>
    <t>06714021000</t>
  </si>
  <si>
    <t xml:space="preserve">60 mesi </t>
  </si>
  <si>
    <t xml:space="preserve">Noleggio n. 2 auto </t>
  </si>
  <si>
    <t>Contratto lavoro a tempo determinato (Pommella) - proroga</t>
  </si>
  <si>
    <t>AVV.TO STEFANO NESPOR</t>
  </si>
  <si>
    <t>03353590155</t>
  </si>
  <si>
    <t>Rilascio di un parere legale in merito ai profili di responsabilità della società concessionaria in materia di sicurezza sui luoghi di lavoro e ambientale in relazione ai cantieri e ai lavori di costruzione della linea M4 della metropolitana</t>
  </si>
  <si>
    <t>a completamento delle attività che si concluderanno entro 20 giorni dalla data di sottoscrizione</t>
  </si>
  <si>
    <t>6.000€ oltre Iva e contributi previdenziali</t>
  </si>
  <si>
    <t>ATTIVO</t>
  </si>
  <si>
    <t>TERMINATO</t>
  </si>
  <si>
    <t>35.280€ oltre iva e contributi previdenziali</t>
  </si>
  <si>
    <t>INFORMAZIONE
ATTIVO/SCADUTO</t>
  </si>
  <si>
    <t>TERMINATO 10/11/17</t>
  </si>
  <si>
    <t>Incarico per la verifica indipendente dell'inteferenza tra la costruzione di opere della linea M4 e il complesso storico-monumentale della Cà Granda</t>
  </si>
  <si>
    <t xml:space="preserve">49.500€ oltre contributi previdenziali </t>
  </si>
  <si>
    <t>EDENRED ITALIA SRL</t>
  </si>
  <si>
    <t>09429840151</t>
  </si>
  <si>
    <t>Buoni pasto cartacei a favore dei dipendenti di M4</t>
  </si>
  <si>
    <t>URBAN VISION SPA</t>
  </si>
  <si>
    <t>08236441005</t>
  </si>
  <si>
    <t>Advisor fiscale Attività extracontrattuali</t>
  </si>
  <si>
    <t>DOLPHIN SOC COOP ARL</t>
  </si>
  <si>
    <t>03054000967</t>
  </si>
  <si>
    <t>GIANNI ORIGONI GRIPPO CAPPELLI &amp; PARTNERS STUDIO LEGALE</t>
  </si>
  <si>
    <t>01535691008</t>
  </si>
  <si>
    <t>Incarico di consulente legale di M4 in relazione al contratto di finanziamento project per la progettazione, costruzione e gestione della linea 4 della metropolitana di Milano</t>
  </si>
  <si>
    <t>biennale dalla sottoscrizione dell'incarico</t>
  </si>
  <si>
    <t xml:space="preserve">119800 escluso contributi previdenziali e spese vive </t>
  </si>
  <si>
    <t xml:space="preserve">comodato d'uso gratuito, sono escluse le spese generali di portierato, ascensore e spese di riscaldamento </t>
  </si>
  <si>
    <t>Uffici Comunali Viale G. D'Annunzio 15/17</t>
  </si>
  <si>
    <t>01199250158</t>
  </si>
  <si>
    <t>13/10/2016 al 31/03/2017</t>
  </si>
  <si>
    <t>49.500 mensili oltre 4% CNPAIA e Iva</t>
  </si>
  <si>
    <t>07722780967</t>
  </si>
  <si>
    <t>Revisione del modello di organizzazione, gestione e controllo ai sensi del D. Lgs. 231/01</t>
  </si>
  <si>
    <t>il contratto terminerà con la consegna formale di tutta la documentazione prodotta</t>
  </si>
  <si>
    <t>METROBLU</t>
  </si>
  <si>
    <t>Convenzione inerente l'uso dei servizi dei campi base</t>
  </si>
  <si>
    <t>2016/2017/2018</t>
  </si>
  <si>
    <t>alloggi: 590 € per camera/mese
pranzo: 8€ cadauna
cena: 8€ cadauna
colazione: 1,5€ cadauna</t>
  </si>
  <si>
    <t xml:space="preserve">8.000€ - 3.000€ oltre contributi previdenziali </t>
  </si>
  <si>
    <t>VITO ROSIELLO</t>
  </si>
  <si>
    <t>RSLVTI50S04A091N</t>
  </si>
  <si>
    <t>Incarico di consulenza tecnica di parte nella procedura giudiziale ricorso Immobiliare Ronchetto</t>
  </si>
  <si>
    <t>l'incarico si concluderà al termine dell'iter giudiaziorio</t>
  </si>
  <si>
    <t>4.000 euro oltre Iva, contributi previdenziali</t>
  </si>
  <si>
    <t xml:space="preserve">Incarico per la realizzazione dei corsi di formazione obbligatoria come identificati nel PTPCT </t>
  </si>
  <si>
    <t>l'incarico terminerà con l'erogazione dell'ultimo modulo formativo e l'invio di tutto il materiale formativo predisposto e utilizzato</t>
  </si>
  <si>
    <t>11.500 euro oltre Iva, contributi previdenziali</t>
  </si>
  <si>
    <t>1313434301004</t>
  </si>
  <si>
    <t>AZIENDA TRASPORTI MILANESI SPA</t>
  </si>
  <si>
    <t>l'incarico dovrà essere espletato fino all'emissione in servizio dell'ultimo treno metropolitano, che si presume avverrà entro il 2024. In caso di splittamenti rispetto alla predetta data, quale che sia la causa del ritardo, ATM non potrà avanzare nei confronti di M4 richieste di indennizzi, risarcimenti o altri compensi</t>
  </si>
  <si>
    <t xml:space="preserve">ARCH. EUGENIA SILVESTRI </t>
  </si>
  <si>
    <t>SLVGNE71D60F205O</t>
  </si>
  <si>
    <t>Prestazioni tecniche e professionali relative alle opere necessarie al trasferimento degli uffici di M4 nella nuova sede di Viale Gabriele D'Annunzio 15</t>
  </si>
  <si>
    <t xml:space="preserve">decorre dalla data di sottoscrizione tra le Parti e ha durata sino al termine del cantiere </t>
  </si>
  <si>
    <t>8.500 euro oltre Iva, contributi previdenziali</t>
  </si>
  <si>
    <t>24 mesi dalla sottoscrizione</t>
  </si>
  <si>
    <t>209.000€ oltre iva, contributi previdenziali e spese vive</t>
  </si>
  <si>
    <t xml:space="preserve">Contratto Integrativo per la costruzione e assistenza di un modello finanziario 
</t>
  </si>
  <si>
    <t xml:space="preserve">le attività del contratto integrativo avranno termine entro il termine di durata del contratto originariamnete previsto 07/07/2020 </t>
  </si>
  <si>
    <r>
      <t>dal 01/04/2017 al 31/03/2018</t>
    </r>
    <r>
      <rPr>
        <b/>
        <sz val="11"/>
        <color theme="1"/>
        <rFont val="Calibri"/>
        <family val="2"/>
        <scheme val="minor"/>
      </rPr>
      <t xml:space="preserve"> </t>
    </r>
    <r>
      <rPr>
        <sz val="11"/>
        <color theme="1"/>
        <rFont val="Calibri"/>
        <family val="2"/>
        <scheme val="minor"/>
      </rPr>
      <t>- proroga del 29/03/2018 dal 01/04/2018 al 30/06/2018 alle medesime condizioni economiche -</t>
    </r>
    <r>
      <rPr>
        <b/>
        <sz val="11"/>
        <color theme="1"/>
        <rFont val="Calibri"/>
        <family val="2"/>
        <scheme val="minor"/>
      </rPr>
      <t xml:space="preserve"> proroga del 28/06/2018 fino al 31/07/2018 (1 mese) alle medesime cond economiche</t>
    </r>
  </si>
  <si>
    <t xml:space="preserve">corrispettivo annuo1.373.217,36 (inclusi CNPAIA 4%) esclusa Iva </t>
  </si>
  <si>
    <t>12.000€ sulla chiusura di bilancio al 31/12/2016
5.000€ sulla chiusura di bilancio al 31/12/2017
Si aggiungono rimborsi spese fino al 5% del valore contrattuale</t>
  </si>
  <si>
    <t>Incarico per l'assistenza nell'adeguamento al regolamento europeo 679/2016 (privacy)</t>
  </si>
  <si>
    <t>inizio attività programmate per luglio 2018 e conclusione non oltre il 30 settembre 2018</t>
  </si>
  <si>
    <t>07025291001</t>
  </si>
  <si>
    <t>Affidamento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</si>
  <si>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dal 01/08/2018 fino alla fine dei lavori coincidente con l'emissione del certificato di collaudo (indicativamente 64 mesi decorrenti dall'avvio dell'esecuzione del servizio)</t>
  </si>
  <si>
    <t>Importo totale del servizio 3.059.143,62 oltre iva e contributi previdenziali</t>
  </si>
  <si>
    <t>STIL EDIL COSTRUZIONI</t>
  </si>
  <si>
    <t>01978960167</t>
  </si>
  <si>
    <t>Lavori di adeguamento degli uffici della futura sede di M4 in Viale D'annunzio</t>
  </si>
  <si>
    <t xml:space="preserve">BDO ITALIA </t>
  </si>
  <si>
    <t>Rilascio e apposizione visto di conformità su dichiarazione IRAP  2018 anno d'imposta 2017</t>
  </si>
  <si>
    <t xml:space="preserve">3.000€ IVA ed oneri accessori di legge esclusi </t>
  </si>
  <si>
    <t>TERMINATO 14/09/18</t>
  </si>
  <si>
    <t>FABER SYSTEM SRL</t>
  </si>
  <si>
    <t>07155170157</t>
  </si>
  <si>
    <t>Protocollo informatico</t>
  </si>
  <si>
    <t>16.800€ una tantum
7.500€ canone annuale</t>
  </si>
  <si>
    <t>tra anni dalla data di invio contratto 26.09.2018</t>
  </si>
  <si>
    <t>RIZ SERVICE SRL</t>
  </si>
  <si>
    <t>22/01/2018- proroga dal 01.08.2018-30.09.2018
27/04/2018 - proroga dal 02/05/18 al 29/06/18 - proroga dal 02/07/18 al 31/07/18 - proroga dal 01/08/18 al 30/09/18 - proroga 01/10/18 al 31/10/18</t>
  </si>
  <si>
    <t>01/08/2018-30/09/2018
01/10/18-31/10/18</t>
  </si>
  <si>
    <t>STUDIO AMICA SOC. COOP.</t>
  </si>
  <si>
    <t>Erogazione in SaaS della piattaforma di E-P rocurement di gare telematiche denominata TuttoGare</t>
  </si>
  <si>
    <t xml:space="preserve">Affidamento triennale
costo annuo 8.000€ </t>
  </si>
  <si>
    <t>24.000 €</t>
  </si>
  <si>
    <r>
      <t xml:space="preserve">30/11/2018
</t>
    </r>
    <r>
      <rPr>
        <b/>
        <sz val="11"/>
        <color theme="1"/>
        <rFont val="Calibri"/>
        <family val="2"/>
        <scheme val="minor"/>
      </rPr>
      <t>20/11/2018 rinnovo durata 36 mesi</t>
    </r>
  </si>
  <si>
    <t>Noleggio ed assistenza tecnica full service multifunzione</t>
  </si>
  <si>
    <t>13187000156</t>
  </si>
  <si>
    <t xml:space="preserve">canone mensile 220 € </t>
  </si>
  <si>
    <t>36 mesi decorrenti dal primo giorno feriale del trimestre solare
da sett - dic 2018</t>
  </si>
  <si>
    <t>750 pulizia ordinaria c/o p.zza castello dall 1 al 12 agosto
2000€ pulizia inizial c/o vial ed'annunzio
3.300€ pulizia ordinaria dal 27 agosto al 30 settembre in Via D'Annunzio
3.300€ pulizia ordinaria dal 1° al 31 ottobre in Via D'Annunzio</t>
  </si>
  <si>
    <t xml:space="preserve">dal ricevimento del cronoprogramma a firma del contraente e committente fino al 6/8/2018
Opere extra contratto per i lavori e le opere necessarie all'adeguamento e al trasferimento della sede </t>
  </si>
  <si>
    <t>01/01/2019-31/12/2019</t>
  </si>
  <si>
    <t>30.900€ escluso Iva</t>
  </si>
  <si>
    <t>Fase 1 € 15.000
Fase 2 il Committente corrisponderà al Contraente l’importo 
maturato e dovuto secondo quanto previsto all’art. 4 (“Corrispettivi ed altre spese”) del Contratto sottoscritto il 7/07/2017, ultimo capoverso a cui questa attività si riferisce.</t>
  </si>
  <si>
    <t>Rate orario unico medio pari ad Euro 240 con CAP mensile pari ad Euro 10.000 + rimborso spese 
Agli onorari vanno aggiunti Iva e CPA 4%</t>
  </si>
  <si>
    <t>KPMG SPA</t>
  </si>
  <si>
    <t>Review indipendente del modello finanziario</t>
  </si>
  <si>
    <t>2 settimane dalla ricezione del modello</t>
  </si>
  <si>
    <t>28.000 €</t>
  </si>
  <si>
    <t>BUTTI &amp; PARTNERS ASSOCIAZIONE</t>
  </si>
  <si>
    <t>04144000231</t>
  </si>
  <si>
    <t>entro 20 gg dalla data di sottoscrizione</t>
  </si>
  <si>
    <t>13134301004</t>
  </si>
  <si>
    <t>Assistenza legale specialistica in materia di anticorruzione e trasparenza</t>
  </si>
  <si>
    <t>dalla data di sottoscrizione alla conclusione dell'attività in oggetto</t>
  </si>
  <si>
    <t>4500+spese generali 10%+CPA 4%</t>
  </si>
  <si>
    <t>Incarico per l'assistenza nell'adeguamento al regolamento europeo 679/2016 (privacy) - II FASE</t>
  </si>
  <si>
    <r>
      <t xml:space="preserve">- Revisione contabile del bilancio in forma abbreviata 
'- Verifica della regolare tenuta della contabilità
'-Verifiche per la sottoscrizione delle dichiarazioni fiscali
'- Revisione del reporting package annuale e revisione contabile limitata del reporting package semestrale sulla base degli IAS/IFRS </t>
    </r>
    <r>
      <rPr>
        <i/>
        <sz val="11"/>
        <color theme="1"/>
        <rFont val="Calibri"/>
        <family val="2"/>
        <scheme val="minor"/>
      </rPr>
      <t>(1) princi IAS/IFRS in vigore alla data della presente proposta</t>
    </r>
    <r>
      <rPr>
        <sz val="11"/>
        <color theme="1"/>
        <rFont val="Calibri"/>
        <family val="2"/>
        <scheme val="minor"/>
      </rPr>
      <t xml:space="preserve">
'- Assistenza metodologica nella predisposizione del bilancio in forma ordinaria a seguito dell'applicazione della direttiva europea 2013/34 e dei nuovi OIC </t>
    </r>
    <r>
      <rPr>
        <i/>
        <sz val="11"/>
        <color theme="1"/>
        <rFont val="Calibri"/>
        <family val="2"/>
        <scheme val="minor"/>
      </rPr>
      <t>(2) nella versione ultima ad oggi emessa del 22/12/2017</t>
    </r>
  </si>
  <si>
    <t xml:space="preserve">PROF. GIOVANNI TARTAGLIA POLCINI </t>
  </si>
  <si>
    <t>TRTGNN68B07A783A</t>
  </si>
  <si>
    <t>Regolamento interno per l'affidamento di incarichi esterni di natura autonoma</t>
  </si>
  <si>
    <t xml:space="preserve">durata di due ore nel giorno e ora concordata tra le parti </t>
  </si>
  <si>
    <t>BONELLI EREDE PAPPALARDO STUDIO LEGALE</t>
  </si>
  <si>
    <t>Conferimento incarico relativo al giudizio da  instaurarsi dinanzi al Tar Lazio-Roma per l'impugnazione da parte di Consul System SpA del provvedimento del GSE di rigetto della PPPM</t>
  </si>
  <si>
    <t>Dalla data di sottoscrizione e terminerà con il completamento delle attività descritte fino all'adozione del giudizio di primo grado o in caso di definizione transattiva della lite, per tutta la durata della gestione della trattativa fino all'eventuale sottoscrizione del relativo atto</t>
  </si>
  <si>
    <t xml:space="preserve">4.750 oltre contributi, e 5% a titolo di rimborso spese generali </t>
  </si>
  <si>
    <t xml:space="preserve">LIPANI CATRICALA' E PARTNERS
STUDIO DI AVVOCATI </t>
  </si>
  <si>
    <t>Incarico per l'assistenza alle attività dell'OdV ex D.Lgs 231/2001</t>
  </si>
  <si>
    <t>6.500 oltre Iva e CPA 4%</t>
  </si>
  <si>
    <t>Inizio attività programmate entro la fine di gennaio 2019 e conclusione non oltre il 30 aprile 2019</t>
  </si>
  <si>
    <t>Le attività oggetto del presente contratto termineranno entro il 31 dicembre 2019</t>
  </si>
  <si>
    <t>29/02/2019</t>
  </si>
  <si>
    <t>2019-2021</t>
  </si>
  <si>
    <t>ELISABETTA GABRIELLI</t>
  </si>
  <si>
    <t>GBRLBT82M43L191U</t>
  </si>
  <si>
    <t>Prestazione lavoro autonomo occasionale, esperto commissione giudicatrice nell'ambito del Concorso Passerella S.Cristoforo</t>
  </si>
  <si>
    <t>Sino alla proclamazione del vincitore del Concorso</t>
  </si>
  <si>
    <t>6.000€ + 500€ rimb spese</t>
  </si>
  <si>
    <t>ENRICA BARZAGHI</t>
  </si>
  <si>
    <t>BRZNRC74P63B639K</t>
  </si>
  <si>
    <t>09989691002</t>
  </si>
  <si>
    <t>Assistenza in giudizio in esito al ricorso di Immobiliare Ronchetto in danno tra gli altri, di SPV Linea M4 SPA</t>
  </si>
  <si>
    <t xml:space="preserve">Dalla firma fino all'espletamento dell'attività </t>
  </si>
  <si>
    <t>6.500€ +contributi prev + spese vive documentate</t>
  </si>
  <si>
    <t>STUDIO LEGALE 
AVV. DI NAPOLI</t>
  </si>
  <si>
    <t>GRENKE/DUPLEX</t>
  </si>
  <si>
    <r>
      <rPr>
        <sz val="15"/>
        <color theme="1"/>
        <rFont val="Calibri"/>
        <family val="2"/>
        <scheme val="minor"/>
      </rPr>
      <t>(*)</t>
    </r>
    <r>
      <rPr>
        <sz val="11"/>
        <color theme="1"/>
        <rFont val="Calibri"/>
        <family val="2"/>
        <scheme val="minor"/>
      </rPr>
      <t xml:space="preserve">
PAGAMENTI
&gt; 5.000€ </t>
    </r>
  </si>
  <si>
    <t xml:space="preserve">NUMERO FATTURA </t>
  </si>
  <si>
    <t xml:space="preserve">DATA PAGAMENTO </t>
  </si>
  <si>
    <t>AVV. ALESSANDRO FACCHINO c/o Studio Legale GeALEX</t>
  </si>
  <si>
    <t>Incarico di assistenza nel giudizio promosso con atto di citazione dal Sig. Giorgio Battisti innanzi al Giudice di Pace di Milano</t>
  </si>
  <si>
    <t>600€ oltre iva, CPA e spese generali</t>
  </si>
  <si>
    <t>FCCLSN67S05F205W</t>
  </si>
  <si>
    <r>
      <t xml:space="preserve">€ 648.120,00 oltre iva 
€ 252.923,60 oltre iva e contributi di legge ove previsti (atto aggiuntivo)
</t>
    </r>
    <r>
      <rPr>
        <b/>
        <sz val="11"/>
        <color theme="1"/>
        <rFont val="Calibri"/>
        <family val="2"/>
        <scheme val="minor"/>
      </rPr>
      <t>Per un totale di € 901.043,60</t>
    </r>
  </si>
  <si>
    <t>Accordo per la funzionalità del sistema di controllo accessi e per l'interfacciametno con il sistema di centro sbme</t>
  </si>
  <si>
    <t>dalla sottoscrizione fino all'entrata in esercizio della prima tratta funzionale</t>
  </si>
  <si>
    <t>Assistenza in giudizio per impugnazione dinanzi al TAR Lombardia proposto da Iscot Italia Spa</t>
  </si>
  <si>
    <t>dalla sottoscrizione fino all'adozione del giudizio o in caso di definizione transattiva della lite</t>
  </si>
  <si>
    <t>10.000€ oltre iva, contributi previdenziali e spese vive</t>
  </si>
  <si>
    <t>RC Advisory Srl</t>
  </si>
  <si>
    <t>06945460969</t>
  </si>
  <si>
    <t>Attività di analisi e revisione delle procedure interne aziendali, già redatte, nonche la stesura delle procedure ancora da sviluppare</t>
  </si>
  <si>
    <t>dalla sottoscrizione dello stesso, terminerà con il completamento di tutte le attività oggetto dell'incarico e non dovrà protrarsi oltre il 30 settembre 2019</t>
  </si>
  <si>
    <t>18.900€ oltre iva</t>
  </si>
  <si>
    <t>il Concedente riconoscerà  per il tramite della Concessionaria, al CMM4 e ad ATM l’importo complessivo di € 800.000,00 oltre IVA</t>
  </si>
  <si>
    <t>ATM/COMUNE DI MILANO/M4/HITACHI RAIL STS SPA/CMM4</t>
  </si>
  <si>
    <t>PERITO INDUSTRIALE RENATO BRUNO</t>
  </si>
  <si>
    <t>059009860016</t>
  </si>
  <si>
    <t>Incarico per la redazione della documentazione tecnica e presentazione delle istanze di deroga ai VV. FF. per le stazioni della M4</t>
  </si>
  <si>
    <t>dalla sottoscrizione dello stesso e terminerà con il completamento di tutte le attività oggetto dell'incarico</t>
  </si>
  <si>
    <t>6.300€ oltre iva</t>
  </si>
  <si>
    <t>04596040966</t>
  </si>
  <si>
    <t xml:space="preserve">Contratto perla realizzazione di un nuovo software per la gestione del protocollo di legalità e per la prestazione di servizi accessori </t>
  </si>
  <si>
    <t>il presente contratto è valido ed efficace dalla data della sua stipula e si concluderà il 31 dicembre 2024</t>
  </si>
  <si>
    <r>
      <t xml:space="preserve">L’importo complessivo del Contratto è pari ad Euro </t>
    </r>
    <r>
      <rPr>
        <b/>
        <sz val="11"/>
        <color theme="1"/>
        <rFont val="Calibri"/>
        <family val="2"/>
      </rPr>
      <t>352.800 iva esclusa</t>
    </r>
    <r>
      <rPr>
        <sz val="11"/>
        <color theme="1"/>
        <rFont val="Calibri"/>
        <family val="2"/>
      </rPr>
      <t xml:space="preserve">
a) euro 263.334 per le attività di sviluppo, rilascio in campo del Software, senza importazione dei dati dal vecchio sistema;
b) euro 51.666 per le attività di manutenzione correttiva dal 1.6.2022 fino al 31 dicembre 2024 di cui euro 11.666 per il periodo dal 1° giugno 2022 al 31 dicembre 2022 euro 20.000 per l’anno 2023 ed euro 20.000 per l’anno 2024;
c) euro 35.000 per il servizio di hosting in cloud dei sistemi hardware su cui è caricato il Software pari ad euro 7.000 per ciascun anno, a partire dal 1° gennaio 2020 e fino al 31 dicembre 2024;
d) euro 2.800 per il servizio di training sul sistema della durata complessiva di 3 giorni lavorativi;</t>
    </r>
    <r>
      <rPr>
        <b/>
        <sz val="11"/>
        <color theme="1"/>
        <rFont val="Calibri"/>
        <family val="2"/>
      </rPr>
      <t xml:space="preserve">
</t>
    </r>
  </si>
  <si>
    <t xml:space="preserve">Incarico relativo all'assistenza  e tutela nel giudizio dinanzi al tribunale nel contenzioso RG 54054/2017 Immobiliare Forlanini Srl </t>
  </si>
  <si>
    <t>16.000 oltre iva e contributi previdenziali dovuti per legge, CPA e spese vive</t>
  </si>
  <si>
    <t>05/11/2018
rinnovo 25/10/19</t>
  </si>
  <si>
    <t>STUDIO LEGALE ANNA MAIENZA E ASSOCIATI</t>
  </si>
  <si>
    <t>06641990962</t>
  </si>
  <si>
    <t>Incarico relativo all'assistenza e tutela nel giudizio avverso l'atto di citazione notificato il 31/07/19 dal Comune di Milano per l'accertamento della responsabilità di M4 per tutti gli eventuali danni patti dal Sig. Zonato</t>
  </si>
  <si>
    <t>10.774 oltre iva e contributi previdenziali dovuti per legge, CPA e spese vive</t>
  </si>
  <si>
    <t xml:space="preserve">Incarico relativo all'assistenza  e tutela nel giudizio dinanzi al tribunale nel contenzioso RG 2347/2018 Immobiliare Forlanini Srl </t>
  </si>
  <si>
    <t>10.000 oltre iva e contributi previdenziali dovuti per legge, CPA e spese vive</t>
  </si>
  <si>
    <t>Quadriennio 2015-2018</t>
  </si>
  <si>
    <t>5/11/18 al 5/11/19
rinnovo 6/11/19 al 6/12/19
rinnovo 9/12/2019 al 20/12/2019</t>
  </si>
  <si>
    <t>01/01/2020-31/12/2020</t>
  </si>
  <si>
    <t>4.500 € al netto iva e delle spese relative agli oneri e tributi catastali eventualmente richiesti dall'Ag. Entrate</t>
  </si>
  <si>
    <t xml:space="preserve">incarico triennale di consulente della società per la valutazione dei criteri di ammissibilità ed efficacia dei contratti di hedging con riferimento alla loro contabilizzazion ed esistenti alla data di chiusura di ogni bilancio di esercizio _ integrazione Hedging </t>
  </si>
  <si>
    <t xml:space="preserve">anno 2020 </t>
  </si>
  <si>
    <t>7.000 + IVA</t>
  </si>
  <si>
    <t>RINNOVO anno 10.12.2019-10.12.2020
qualora la società lo ritenesse, l'incarico può essere rinnovato per un uguale periodo</t>
  </si>
  <si>
    <t>Long Term Partners Srl</t>
  </si>
  <si>
    <t>SERVIZIO DI CONSULENZA PER LA VALORIZZAZIONE DELLA COMUNICAZIONE COMMERCIALE NELL’INFRASTRUTTURA DELLA LINEA M4 DELLA METROPOLITANA DEL COMUNE DI MILANO</t>
  </si>
  <si>
    <t>60 giorni dalla sottoscrizione</t>
  </si>
  <si>
    <t>AOUMM Srl STP</t>
  </si>
  <si>
    <t>09433100964</t>
  </si>
  <si>
    <t>Incarico di integrazione e coordinamento della progettazione architettonica inerente allo sviluppo del progetto  definitivo ed esecutivo della passerella ciclopedonale di collegamento tra i quartieri di lorenteggio e ronchetto sul naviglio</t>
  </si>
  <si>
    <t xml:space="preserve">gli elaborati relativi alla Progettazione Definitiva entro il termine stabilito di volta in volta dallo stesso, fino ad un
massimo di 45 giorni naturali e consecutivi;
gli elaborati relativi alla Progettazione Esecutiva fino ad un massimo di 45 giorni naturali e consecutivi;
gli aggiornamenti e le revisioni degli elaborati di PD e/o PE entro 20 giorni naturali e consecutivi.
I termini di cui sopra decorrono dalla ricezione del relativo ordine di avvio attività del Committente </t>
  </si>
  <si>
    <t>JOBBING SOC. COOP.</t>
  </si>
  <si>
    <r>
      <t xml:space="preserve">Servizio di espletamento delle procedure espropriative e occupazione temporanea
</t>
    </r>
    <r>
      <rPr>
        <b/>
        <sz val="11"/>
        <color theme="1"/>
        <rFont val="Calibri"/>
        <family val="2"/>
        <scheme val="minor"/>
      </rPr>
      <t>15.01.2020</t>
    </r>
    <r>
      <rPr>
        <sz val="11"/>
        <color theme="1"/>
        <rFont val="Calibri"/>
        <family val="2"/>
        <scheme val="minor"/>
      </rPr>
      <t xml:space="preserve"> Atto aggiuntivo al contratto di servizi di espletamento delle procedure espropriative e occupazione temporanea</t>
    </r>
  </si>
  <si>
    <t>Asseverazione partite di credito e debito tra l'ente Comune di Milano e SPV Linea M4 SPA per le finalità previste dal decreto legislativo 23 giugno 2011 n.118 per l'esercizio 2019</t>
  </si>
  <si>
    <t>Asseverazione partite di credito e debito tra l'ente Comune di Milano e SPV Linea M4 SPA per le finalità previste dal decreto legislativo 23 giugno 2011 n.118 per gli esercizi 2015-2016-2017-2018</t>
  </si>
  <si>
    <t>anno 2019</t>
  </si>
  <si>
    <t>06/04/2020
nuovo termine 06/06/2023</t>
  </si>
  <si>
    <t>STUDIO LEGALE ASSOCIATO SANTAMARIA _Avv.to Bruno Santamaria</t>
  </si>
  <si>
    <t>08912910968</t>
  </si>
  <si>
    <t>Incarico assistenza e tutela nel giudizio avverso il ricorso promosso dal condominio via De Amicis innanzi al TAR Lombardia per l'annullamento del decreto adottato da M4 SPA per l'imposizione di una servitù di passaggio della galleria della metropolitana</t>
  </si>
  <si>
    <t xml:space="preserve">A completamento delle attività e fino all'adozione del giudizio o, in caso di transattiva della lite, per tutta la durata della gestione della trattativa fino all'eventuale sottoscrizione del relativo atto
</t>
  </si>
  <si>
    <t>2.800 oltre contributi di legge e 15% spese generali</t>
  </si>
  <si>
    <t>da 105.384 a 115.913,40 con l'atto di sottomissione sottoscritto il 13/02/2020</t>
  </si>
  <si>
    <t>Le attività oggetto del presente contratto termineranno entro il 31 dicembre 2021</t>
  </si>
  <si>
    <t xml:space="preserve">incarico relativo all'assistenza per difesa in giudizio dinanzi al tribunale civile di milano per il ricorso presentato dal condominio in corso manforte 45, milano per nomina perito di parte M4 e presidente della terna dei periti </t>
  </si>
  <si>
    <t>al completamento delle attività sino all'eventuale assistenza nelle more delle operazioni peritali affidate alla terna dei tecnici</t>
  </si>
  <si>
    <t>1.100€ oltre IVA e CPA  + Spese vive concordate  e documentate (+15%)</t>
  </si>
  <si>
    <t>ASSISTENZA LEGALE SULLA GESTIONE DEI CONTRATTI DI FINANZIAMENTO SOTTOSCRITTI DA SPV LINEA M4 S.P.A. FINO ALLA DATA DEL 25 SETTEMBRE 2019</t>
  </si>
  <si>
    <t>due anni dalla firma del contratto</t>
  </si>
  <si>
    <t>38.000€ per la durata dell'incarico (quindi 19.000€)</t>
  </si>
  <si>
    <t>19/03/2020 firma Presidente M4
15/04/2020 firma GOP</t>
  </si>
  <si>
    <t>ARCH. MAURIZIO DEL BROCCO</t>
  </si>
  <si>
    <t>01700940602</t>
  </si>
  <si>
    <t>INCARICO PER L’ATTIVITA’ DI CONSULENTE TECNICO DI PARTE PER LA DETERMINAZIONE DELLE INDENNITA’ DEFINITIVE DI ESPROPRIAZIONE, NELL’AMBITO DELLA CONTROVERSIA CON IMMOBILIARE FORLANINI S.R.L</t>
  </si>
  <si>
    <t>Il presente incarico decorrerà dalla data di sottoscrizione dello stesso e terminerà con il completamento dell’attività in oggetto.</t>
  </si>
  <si>
    <t>€ 5.000 omnicomprensivo per tutte le attività e le spese sostenute dal CTP, al netto dell’IVA e degli altri oneri di legge</t>
  </si>
  <si>
    <t xml:space="preserve">3TI ITALIA SPA </t>
  </si>
  <si>
    <t xml:space="preserve">ING. GENOVESE </t>
  </si>
  <si>
    <t>INCARICO PER L’ATTIVITA’ DI CONSULENTE TECNICO DI PARTE PER LA DETERMINAZIONE DELLE INDENNITA’ DEFINITIVE DI ESPROPRIAZIONE, NELL’AMBITO DELLA CONTROVERSIA CON CONDOMIONIO DI VIA MONFORTE 45 MILANO</t>
  </si>
  <si>
    <t>Il presente incarico decorrerà dalla data di sottoscrizione dello stesso (13/07/2020) e terminerà con il completamento dell’attività in oggetto.</t>
  </si>
  <si>
    <t>€ 4.800 al netto di spese generali e CPA</t>
  </si>
  <si>
    <t>PROF. AVV. SCARPELLI</t>
  </si>
  <si>
    <t xml:space="preserve">REDAZIONE DI UN PARERE LEGALE IN MATERIA DI ORGANIZZAZIONE DEL PERSONALE E ASSUNZIONI DA PARTE DELLE SOCIETA' PARTECIPATE DA AMMINISTRAZIONI PUBBLICHE </t>
  </si>
  <si>
    <t>Il presente incarico decorrerà dalla data di sottoscrizione dello stesso (23/07/2020) e terminerà con il completamento dell’attività in oggetto.</t>
  </si>
  <si>
    <t>€ 2000 oltre oneri e contributi di legge</t>
  </si>
  <si>
    <t xml:space="preserve">Gestione degli spazi pubblicitari all'interno delle aree di cantiere relative alla realizzazione della linea M4
Variazioni al contratto di conessione 17/07/2020 </t>
  </si>
  <si>
    <t>30/10/2014
15/01/2020 addendum al contratto generale</t>
  </si>
  <si>
    <t>06/02/2017
31/01/2020 proroga contrattuale di ulteriori 38 mesi</t>
  </si>
  <si>
    <t>27/11/2017
13/02/2020 integrazione al contratto generale</t>
  </si>
  <si>
    <t>Conferimento d'incarico di Professionista Preposto relativamente alle opere delle Linea 4 della metropolitana ai fini dell'art 5 D.P.R. 753/1980 e della circolare M.C.T.C. - D.G. N. 201 del 16/9/1983
18 OTTOBRE 2019 scrittura privata tra M4 e ATM il quale si è reso necessaro sottoporre a verifica del Professionista Preposto ulteriori 3 carri pianale
10 SETTEMBRE 2020 scrittura privata tra M4 e ATM il quale si è reso necessaro sottoporre a verifica del Professionista Preposto quarto mezzo ausiliaro (Locotrattore disel strada)</t>
  </si>
  <si>
    <t xml:space="preserve">20/03/2018
18/10/2019 scrittura privata
10/09/2020 scrittura privata </t>
  </si>
  <si>
    <t>14.000 oltre iva e contributi previdenziali dovuti per legge, CPA e spese vive</t>
  </si>
  <si>
    <t xml:space="preserve">Servizio di pulizie uffici M4 e piccole manutenzioni (edili elettriche idrauliche) presso M4 + atto di sottomissione raccolta sacchi </t>
  </si>
  <si>
    <t>23/12/2019
18/09/2020</t>
  </si>
  <si>
    <t xml:space="preserve">decorrenza di 2 anni dal 2/01/2020 potrà essere prorogato, per il periodo strettamente necessario all’individuazione di un nuovo affidatario, per un periodo massimo di 2 (due) mesi.
Servizio di raccolta rifiuti dal 1 ottobre 2020 </t>
  </si>
  <si>
    <t>39.994 € per l'intera durata del contratto
+ 4.200€ servizio raccolta rifiuti dal 1 ottobre 2020 = 
= nuovo importo contrattuale 44.194</t>
  </si>
  <si>
    <t>ZABBAN - NOTARI - RAMPOLLA &amp; ASSOCIATI</t>
  </si>
  <si>
    <t>REDAZIONE DI UN ATTO DI PERMUTA, COSTITUITO DAL PASSAGGIO DI PROPRIETà DI UNA PORZIONE D'AREA DI 184mq DI PROPRIETà DEL POLICLINICO, A FAVORE DEL COMUNE DI MILANO</t>
  </si>
  <si>
    <t>CAFASSO &amp; FIGLI SPA</t>
  </si>
  <si>
    <t>07661170634</t>
  </si>
  <si>
    <t>Servizi di amministrazione del personale</t>
  </si>
  <si>
    <t>31.264,20 oltre oneri e contributi di legge</t>
  </si>
  <si>
    <t>SETEGET SRL</t>
  </si>
  <si>
    <t>0094850794</t>
  </si>
  <si>
    <t xml:space="preserve">Incarico per il perfezionamento al catasto dei terreni di propriettà del Comune di Milano e del Policlinico e redazione modello DOCFA </t>
  </si>
  <si>
    <t>Il presente incarico decorrerà dalla data di sottoscrizione dello stesso (02/10/2020) e terminerà con il completamento dell’attività in oggetto.</t>
  </si>
  <si>
    <t>3.300 oltre oneri e contributi di legge</t>
  </si>
  <si>
    <t>€ 17.266,35 (di cui 14.741,85 a titolo di imposte e tasse)</t>
  </si>
  <si>
    <t>Il presente incarico decorrerà dalla data di sottoscrizione dello stesso (06/11/2020) e terminerà con il completamento dell’attività in oggetto.</t>
  </si>
  <si>
    <t>05066690156</t>
  </si>
  <si>
    <t>Buoni pasto elettronici a favore dei dipendenti di M4</t>
  </si>
  <si>
    <t>PELLEGRINI SPA</t>
  </si>
  <si>
    <t>Prof. avv. Luca Geninatti Satè</t>
  </si>
  <si>
    <t>GNNLCU76D30L219A</t>
  </si>
  <si>
    <t>Incarico per il servizio di aggiornamento del Modello 231di M4 Spa alle nuove disposizioni normative che integrano il novero dei cd. Reati presupposto</t>
  </si>
  <si>
    <t>Il presente incarico decorrerà dalla data di sottoscrizione e terminerà entro 60 giorni dalla firma dello stesso,
con il completamento di tutte le attività sopra descritte.</t>
  </si>
  <si>
    <t>6.000 oltre oneri e contributi di legge</t>
  </si>
  <si>
    <t>Incarico per la redazione di un parere legale riguardante il mancato pagamento di sanzioni comminate ai senzi dell'art 6 del protocollo di legalità nei confronti degli operatori economici della filiera che sono stati raggiunti da una notifica di sanzione</t>
  </si>
  <si>
    <t xml:space="preserve">Il presente incarico decorrerà dalla data di sottoscrizione dello stesso e terminerà con il completamento di tutte le attività </t>
  </si>
  <si>
    <t>potrà variare da un minimo di € 3.000  in caso di parere di complessità media ad un massimo di € 6.000 in caso di parere di complessità elevata</t>
  </si>
  <si>
    <t>distacco decorre dal 1/12/2020 al 30/11/2023
la convenzione con la camera del lavoro avrà durata sino al 30/11/2023 con possibilità di proroga da definirsi entro 30 gg dalla scadenza</t>
  </si>
  <si>
    <t>limite massimo annuo lordo di € 31.666 con ristoro eventuali spese telefoniche e/o per abbonamento TPL gestito da ATM</t>
  </si>
  <si>
    <t>Dott. Ing. Pietro Palmieri</t>
  </si>
  <si>
    <t>Incarico per il servizio di consulente tecnico di parte nella Terna di professionisti che supporti M4 nella gestione di n. 5 terne</t>
  </si>
  <si>
    <t>Il presente incarico decorrerà dalla data di sottoscrizione e terminerà con il completamento di tutte le
attività finalizzate alla determinazione dell’indennità definitiva.</t>
  </si>
  <si>
    <t>15.000 oltre oneri e contributi di legge</t>
  </si>
  <si>
    <t>02546380037</t>
  </si>
  <si>
    <t>UR UIL Lombardia E Milano</t>
  </si>
  <si>
    <t>protocollo sicurezza cantieri M4 - distacco lavoratori dai sindacati 
Distacco Marco Sorio rappresentante sindacali art. 30</t>
  </si>
  <si>
    <t>distacco decorre dal 1/12/2020 al 30/11/2023
la convenzione con la UR UIL Lombardia e Milano  avrà durata sino al 30/11/2023 con possibilità di proroga da definirsi entro 30 gg dalla scadenza</t>
  </si>
  <si>
    <t>CESIL</t>
  </si>
  <si>
    <t>protocollo sicurezza cantieri M4 - distacco lavoratori dai sindacati 
Distacco Marco Delle Donne rappresentante sindacali art. 30</t>
  </si>
  <si>
    <t>distacco decorre dal 14/12/2020 al 30/11/2023
la convenzione  avrà durata sino al 30/11/2023 con possibilità di proroga da definirsi entro 30 gg dalla scadenza</t>
  </si>
  <si>
    <t>WEBUILD SpA</t>
  </si>
  <si>
    <t>01/01/2021-31/12/2021</t>
  </si>
  <si>
    <t>Rilascio di un parere legale in merito al sinistro verificatosi in data 16 giugno 2020 e sulle eventuali responsabilità gravanti sulla società M4</t>
  </si>
  <si>
    <t>Il presente incarico decorrerà dalla data di sottoscrizione e terminerà con il completamento di tutte le
attività oggetto del presente incarico</t>
  </si>
  <si>
    <t>6.500 oltre oneri e contributi di legge</t>
  </si>
  <si>
    <t>Studio Legale Bassani e Associati</t>
  </si>
  <si>
    <t>03780000968</t>
  </si>
  <si>
    <t>22.000 oltre oneri e contributi di legge</t>
  </si>
  <si>
    <t>ASSISTENZA LEGALE PER LA GESTIONE DEI CONTRATTI DI FINANZIAMENTO EPC E O&amp;M, DEI PROCEDIMENTI DI ESPROPRIO E DEL COTENZIOSO STRAGIUDIZIALE DI M4</t>
  </si>
  <si>
    <t>25.000 oltre oneri e contributi di legge</t>
  </si>
  <si>
    <t>GIANNI &amp; ORIGONI</t>
  </si>
  <si>
    <t>Rilascio di un parere legale da allegare alla richiesta di waiver avente oggetto la disamina legale dei ritardi di costruzione
derivanti in particolare dall’emergenza Covid-19 e ai rinvenimenti archeologici al fine di definire se gli
stessi fossero o meno imputabili a M4 S.p.A.</t>
  </si>
  <si>
    <t>Asseverazione partite di credito e debito tra l'ente Comune di Milano e SPV Linea M4 SPA per le finalità previste dal decreto legislativo 23 giugno 2011 n.118 per l'esercizio 2020</t>
  </si>
  <si>
    <t>8 anni</t>
  </si>
  <si>
    <r>
      <t xml:space="preserve">L'importo annuo è di euro 16.000 per Km di linea 
- </t>
    </r>
    <r>
      <rPr>
        <b/>
        <sz val="11"/>
        <color theme="1"/>
        <rFont val="Calibri"/>
        <family val="2"/>
        <scheme val="minor"/>
      </rPr>
      <t>Linate-San Cristoforo 15 Km di linea per totali euro 240.000</t>
    </r>
    <r>
      <rPr>
        <sz val="11"/>
        <color theme="1"/>
        <rFont val="Calibri"/>
        <family val="2"/>
        <scheme val="minor"/>
      </rPr>
      <t xml:space="preserve">
</t>
    </r>
  </si>
  <si>
    <t>Infrastrutture Wireless Italiane Spa (INWIT)</t>
  </si>
  <si>
    <t>08936640963</t>
  </si>
  <si>
    <t>Accordo per la messa a disposizione degli spazi tecnici per l'installazione delle infrastrutture di rete mobile e degli apparati trasmissivi dei gestori di telefonia</t>
  </si>
  <si>
    <t xml:space="preserve">Servizio di consulenza per l'aggiornamento e l'assistenza nell'alimentazione del modello finanziario 
</t>
  </si>
  <si>
    <t xml:space="preserve">48 mesi dalla data di sottoscrizione </t>
  </si>
  <si>
    <t>1. RTI LS Lexjus Sinacta - Avvocati e Commercialisti Associati - Milano e Bologna
2. Paragon Business Advisor Srl</t>
  </si>
  <si>
    <t>1. mandataria P.Iva 02698331200
2. mandante P.Iva 07742550960</t>
  </si>
  <si>
    <t>PAGE PERSONNEL ITALIA SPA</t>
  </si>
  <si>
    <t xml:space="preserve">Contratto lavoro a tempo determinato (Venturino) </t>
  </si>
  <si>
    <t xml:space="preserve">Il presente incarico decorrerà dalla data di stipula del contratto, sarà 120 giorni naturali e consecutivi.
</t>
  </si>
  <si>
    <t>Servizio di consulenza legale nel giudizio avverso il ricorso al TAR MI notificato da Vaia Car S.p.A</t>
  </si>
  <si>
    <t>3.305 oltre oneri e contributi di legge</t>
  </si>
  <si>
    <t xml:space="preserve">L'incarico ha per oggetto l'assistenza e la difesa nel giudizio avverso il ricorso al TAR MI - NGR 290/2021 – notificato da Kone S.p.A. L’incarico comprenderà, oltre alla fase di merito con le attività difensive connesse (memoria, replica e partecipazione all’udienza) anche una fase cautelare
</t>
  </si>
  <si>
    <t>4.620 oltre oneri e contributi di legge</t>
  </si>
  <si>
    <t xml:space="preserve">L'incarico decorrerà dalla data di stipula del contratto e terminerà con il completamento di tutte le attività riportate in oggetto
</t>
  </si>
  <si>
    <t>Parere legale riguardante l’obbligatorietà di iscrizione per la Società al registro denominato “indice dei domicili digitali delle Pubbliche Amministrazioni e dei gestori di pubblici servizi” (IPA)”stessi fossero o meno imputabili a M4 S.p.A.</t>
  </si>
  <si>
    <t>Il presente incarico decorrerà dalla data di sottoscrizione dello stesso e terminerà con il rilascio del
parere e con il completamento di tutte le attività sopra descritte.</t>
  </si>
  <si>
    <t xml:space="preserve">€ 4.000  in caso di parere di complessità media
5.000 (euro cinquemila/00), in caso di parere di complessità elevata </t>
  </si>
  <si>
    <t>CAMERA DEL LAVORO METROPOLITANA DI MILANO CGIL</t>
  </si>
  <si>
    <t>01/01/2018-31/12/2020
Rimodulazione del termine contrattuale al  31/10/2021
ulteriore rimodulazione importo sino a scadenza del contratto anno 2021</t>
  </si>
  <si>
    <t>783.333,33 annuale
revisione anno 2021, integrazione mensile totale a finire 31.10.2021 688.945,47€</t>
  </si>
  <si>
    <t>Noleggio n. 1 auto PANDA</t>
  </si>
  <si>
    <t>248,38 canone mensile</t>
  </si>
  <si>
    <t>3TI ITALIA SPA</t>
  </si>
  <si>
    <t>ATTO AGGIUNTIVO al contratto di Affidamento in concessione del servizio di coordinamento della Sicurezza in fase di Progettazione e di coordinamento della sicurezza in fase di esecuzione nonché di referente di cantieri ai sensi dell'art. 7 del protocollo di Legalità nell'ambito del progetto definitivo esecutivo e della realizzazione dei lavori di costruzione della M4</t>
  </si>
  <si>
    <t>segue la durata principale del contratto
(fino alla fine dei lavori coincidente con l'emissione del certificato di collaudo)</t>
  </si>
  <si>
    <t>265.142,75 Euro attività di CSE integrativa al contratto principale</t>
  </si>
  <si>
    <t>dal 01/03/21 al 28/02/21
- terminato il 9/04/2021 a seguito del non supermanto del periodo di prova</t>
  </si>
  <si>
    <t xml:space="preserve">Contratto lavoro a tempo determinato (Piermartiri) </t>
  </si>
  <si>
    <r>
      <t xml:space="preserve">648.340,00 oltre iva
123.170,00 oltre iva e contributi di legge ove previsti (atto aggiuntivo)
</t>
    </r>
    <r>
      <rPr>
        <b/>
        <sz val="11"/>
        <color theme="1"/>
        <rFont val="Calibri"/>
        <family val="2"/>
        <scheme val="minor"/>
      </rPr>
      <t>Per un totale di euro 771.510,00</t>
    </r>
  </si>
  <si>
    <r>
      <t xml:space="preserve">Servizio di espletamento delle procedure espropriative e occupazione temporanea
</t>
    </r>
    <r>
      <rPr>
        <b/>
        <sz val="11"/>
        <color theme="1"/>
        <rFont val="Calibri"/>
        <family val="2"/>
        <scheme val="minor"/>
      </rPr>
      <t>17.07.2019</t>
    </r>
    <r>
      <rPr>
        <sz val="11"/>
        <color theme="1"/>
        <rFont val="Calibri"/>
        <family val="2"/>
        <scheme val="minor"/>
      </rPr>
      <t xml:space="preserve"> Atto aggiuntivo al contratto di servizi di espletamento delle procedure espropriative e occupazione temporanea sottoscritto il 9/07/2019</t>
    </r>
  </si>
  <si>
    <t>STUDIO ASSOCIATO SCL INGEGNERIA STRUTTURALE</t>
  </si>
  <si>
    <t>Incarico per il servizio di consulente tecnico che supporti M4 nella gestione di n. 5 terne</t>
  </si>
  <si>
    <t>14.500 oltre oneri e contributi di legge</t>
  </si>
  <si>
    <t>Caruso Andreatini Notai Associati</t>
  </si>
  <si>
    <t>08995520965</t>
  </si>
  <si>
    <t>Redazione di n. 5 Atti di servitù di passaggio all’interno di aree di proprietà del Comune di Milano</t>
  </si>
  <si>
    <t>Il presente incarico decorrerà dalla data di sottoscrizione dello stesso e terminerà con la redazione degli atti</t>
  </si>
  <si>
    <t>10.000 oltre oneri e contributi di legge</t>
  </si>
  <si>
    <r>
      <t xml:space="preserve">11/02/2021
</t>
    </r>
    <r>
      <rPr>
        <b/>
        <sz val="11"/>
        <color theme="1"/>
        <rFont val="Calibri"/>
        <family val="2"/>
        <scheme val="minor"/>
      </rPr>
      <t xml:space="preserve">20/05/2021 risoluzione consensuale contratto </t>
    </r>
  </si>
  <si>
    <r>
      <t>29.500 oltre iva</t>
    </r>
    <r>
      <rPr>
        <sz val="11"/>
        <color theme="1"/>
        <rFont val="Calibri"/>
        <family val="2"/>
      </rPr>
      <t xml:space="preserve">
</t>
    </r>
    <r>
      <rPr>
        <b/>
        <sz val="11"/>
        <color theme="1"/>
        <rFont val="Calibri"/>
        <family val="2"/>
      </rPr>
      <t xml:space="preserve">13.687,50 oltre iva e oneri di legge </t>
    </r>
  </si>
  <si>
    <t>protocollo sicurezza cantieri M4 - distacco lavoratori dai sindacati 
Distacco Stefano Ruberto  rappresentante sindacali art. 30</t>
  </si>
  <si>
    <t>47.000 escluso Iva</t>
  </si>
  <si>
    <t>quatto anni dalla sottoscrizione
previsto l'esercizio della facoltà di proroga dell'oggetto contrattuale ai medesimi prezzi, patti e condizioni, ai sensi dell'art. 106, co. 11, del Codice limitatamente al tempo strettamente necessario alla conclusione delle procedure eventualmente necessarie per l'individuazione di un nuovo contraente per4
un periodo massimo stimato di 2 (due) mesi;</t>
  </si>
  <si>
    <t>Attività di supporto legale al processo di negoziazione in corso ai fini dell’aggiornamento del protocollo di legalità e delle procedure da esso derivate, ivi incluse quelle relative all’applicazione delle sanzioni in corso.</t>
  </si>
  <si>
    <t>2.918,24 oltre oneri e contributi di legge</t>
  </si>
  <si>
    <t xml:space="preserve">CONFERIMENTO DI INCARICO PER IL SERVIZIO DI CONSULENTE TECNICO CHE SUPPORTI
M4 NELLA GESTIONE DI N° 5 TERNE </t>
  </si>
  <si>
    <t>Il presente incarico decorrerà dalla data di sottoscrizione dello stesso (17/06/2020) e terminerà con il completamento dell’attività in oggetto.</t>
  </si>
  <si>
    <t>€ 13.750 al netto di spese generali e CPA</t>
  </si>
  <si>
    <t>dal 19/04/21 al 18/04/22
- terminato il 27/05/2021 ha trovato altro lavoro</t>
  </si>
  <si>
    <t>Servizio di consulenza legale in merito alla valutazione delle riserve del costruttore</t>
  </si>
  <si>
    <t>L'incarico ha per oggetto l’attività di supporto legale per assistenza nel contenzioso promosso da Lanfossi S.r.l. contro M4 S.p.a. dinanzi al Tribunale di Milano, R.G. n. 14983/2021</t>
  </si>
  <si>
    <t>4.380,80 oltre oneri, contributi di legge e spese generali
792 ,00 per contributo unificato e marca di iscrizione al ruolo</t>
  </si>
  <si>
    <t>0075828240550</t>
  </si>
  <si>
    <t>75.000 al netto dell'iva</t>
  </si>
  <si>
    <t xml:space="preserve">L'incarico ha per oggetto la redazione di un parere riguardo alla normativa in tema di fatturazione elettronica di cui al D.lgs. 148/2018 ed alla sua applicabilità inclusa a verifica sulla sussistenza dei presupposti legali per l’iscrizione di M4 S.p.A. alle banche dati IPA (AIGID) ed AUSA (Anac)
contraente
</t>
  </si>
  <si>
    <t>Gatti Pavesi Bianchi Ludovici</t>
  </si>
  <si>
    <t>11633970154</t>
  </si>
  <si>
    <t>Atto Aggiuntivo Redazione modelli DOCFA per accatastamento aree urbane tratta Expo di 2 particelle di Proprietà della Soc. Gezzo</t>
  </si>
  <si>
    <t>12/12/2019
13/07/2021 atto aggiuntivo all'incarico stipulato il 12/12/2019</t>
  </si>
  <si>
    <t>Lo Studio legale Alberto Bianchi &amp; Partners</t>
  </si>
  <si>
    <t>07004600487</t>
  </si>
  <si>
    <t>decorrerà dalla data di sottoscrizione dello stesso e terminerà con il completamento delle attività oggetto dell'incarico</t>
  </si>
  <si>
    <t xml:space="preserve">524 euro per deposito di ciascuna istanza al netto dei contributi previdenziali , cpa e spese generali nella misura del 15% </t>
  </si>
  <si>
    <t>03380410104</t>
  </si>
  <si>
    <t>servizio di consulenza, relativa all’aggiornamento e all’assistenza nell’alimentazione di un modello finanziario per la società SPV Linea M4 S.p.A</t>
  </si>
  <si>
    <t>Il presente incarico decorre dalla data di stipula del presente contratto e dovrà essere reso fino al 31/12/2022.</t>
  </si>
  <si>
    <t>23.000,00  (attività ordinaria) 
max 26.500,00 (attività straordinaria max 50 ore)</t>
  </si>
  <si>
    <t xml:space="preserve">SERVIZIO DI ACCATASTAMENTO E DETERMINAZIONE DELLA TARI PER M4 S.P.A. </t>
  </si>
  <si>
    <t>€ 29.307,00 al netto di IVA e dei contributi previdenziali nella
misura dovuta per legge</t>
  </si>
  <si>
    <t>36 mesi dalla sosttoscrizione (dal 26/04/2017 al 26/04/2020)
proroga dal 27/04/2020 al 08/07/2020
nuovo contratto dal 09/07/2020 al 08/07/2021 - nuovo contratto dal 10/07/2021 al 08/04/2022</t>
  </si>
  <si>
    <t>140€ + iva mensili per posto auto 
nuovo contratto scadenza 8.4.22 valore rimodulato a 160€ + Iva mensili (25 posti auto totale 36.000,00</t>
  </si>
  <si>
    <t xml:space="preserve">Medigest SA (mandataria) con
Arcus Financial Advisors S.r.l. (mandante) </t>
  </si>
  <si>
    <t>CHE-107.447.348
03380410104</t>
  </si>
  <si>
    <t>120 giorni naturali e consecutivi decorrenti dalla stipula del presente contratto
Per eventuali ulteriori attività di carattere straordinario o comunque non incluse tra quelle di cui all’articolo 1 (Oggetto e modalità di svolgimento dell’incarico), che si dovesse rendere necessario espletare, il Consulente applicherà le tariffe per ciascuna ora di lavoro richiesta, pari ai rates orari standard, scontati del 20%
orari standard, scontati del 20%:</t>
  </si>
  <si>
    <t xml:space="preserve">VIDEOWALL S.r.l. </t>
  </si>
  <si>
    <t>Affidamento in concessione a dei servizi di progettazione, realizzazione, gestione, manutenzione e commercializzazione degli Spazi pubblicitari, all’interno della Linea 4 della Metropolitana di Milano</t>
  </si>
  <si>
    <r>
      <rPr>
        <b/>
        <sz val="11"/>
        <color theme="1"/>
        <rFont val="Calibri"/>
        <family val="2"/>
        <scheme val="minor"/>
      </rPr>
      <t>- 8 anni</t>
    </r>
    <r>
      <rPr>
        <sz val="11"/>
        <color theme="1"/>
        <rFont val="Calibri"/>
        <family val="2"/>
        <scheme val="minor"/>
      </rPr>
      <t xml:space="preserve"> decorrenti dalla data di sottoscrizione del Contratto o messa in esercizio della prima Tratta Funzionale
- M4 avrà la facoltà di rinnovare il Contratto, alle medesime condizioni, per una durata pari a 2 (due) anni</t>
    </r>
    <r>
      <rPr>
        <sz val="11"/>
        <color theme="1"/>
        <rFont val="Calibri"/>
        <family val="2"/>
        <scheme val="minor"/>
      </rPr>
      <t xml:space="preserve">
- La durata del Contratto potrà inoltre essere prorogata, alle medesime condizioni, per il tempo strettamente necessario alla conclusione delle procedure per l’individuazione del nuovo contraente</t>
    </r>
  </si>
  <si>
    <t xml:space="preserve">- Canone annuale di € 3.960.000,00
(v. dettaglio art. 9 CANONE, ONERI AGGIUNTIVI E MODALITÀ DI VERSAMENTO"
</t>
  </si>
  <si>
    <t>Dott. Ing. Carlo Alessandro Bertetti</t>
  </si>
  <si>
    <t>04550320016</t>
  </si>
  <si>
    <t>Redazione di una perizia tecnica difensiva a seguito del ricorso al TAR presentato dall’Istituto dei Ciechi di Milano, con particolare riferimento ai motivi aggiunti di impugnazione riferiti al progetto esecutivo relativo alla valutazione degli impatti acustici e vibrazionali.</t>
  </si>
  <si>
    <t>€ 15.000,00 al netto di IVA e dei contributi previdenziali nella
misura dovuta per legge</t>
  </si>
  <si>
    <t>Studio Legale De Marini Savorelli</t>
  </si>
  <si>
    <t>05584290968</t>
  </si>
  <si>
    <r>
      <t xml:space="preserve">Rilascio di un parere legale in merito ai seguenti quesiti:
</t>
    </r>
    <r>
      <rPr>
        <sz val="9"/>
        <color theme="1"/>
        <rFont val="Calibri"/>
        <family val="2"/>
        <scheme val="minor"/>
      </rPr>
      <t>1) Individuazione delle procedure di affidamento di servizi sottosoglia - diverse dalle procedure
aperte - che possano rispondere all’esigenza della Società di avere fornitori di altissimo standing
e di indubbio prestigio professionale sul mercato di riferimento mediante procedure più brevi
rispetto alle procedure aperte;
2) Riguardo ad una gara pubblica tuttora in corso, con procedura aperta, ai sensi dell’art. 60 del
D. Lgs. 18/04/2016, n. 50 e s.m.i, si richiede l’analisi della documentazione rilevante per poter
fornire supporto alla Società nella valutazione dell’esistenza dei presupposti per annullamento
totale o parziale della procedura</t>
    </r>
  </si>
  <si>
    <t>Il presente incarico decorre dalla data di stipula e terminerà con il completamento di tutte le attività descritte nell'oggetto</t>
  </si>
  <si>
    <t>€ 4.000,00 al netto dell’IVA e degli oneri di legge</t>
  </si>
  <si>
    <t>Cellnex Italia S.p.A</t>
  </si>
  <si>
    <t xml:space="preserve">Accordo per la messa a disposizione degli spazi (aree aperte al pubblico presenti nelle stazioni) per l'installazione dei servizi di comunicazione elettronica </t>
  </si>
  <si>
    <t>Il presente contratto avrà la durata di anni 9 (nove), rinnovabile su richiesta di Cellnex per un periodo di pari durata.</t>
  </si>
  <si>
    <t>a) Euro 5.859,35 anno quale prezzo per ogni stazione aperta al pubblico (e tratti di Linea corrispondenti) a titolo di canone di ospitalità
vedi accordo art. 15</t>
  </si>
  <si>
    <t>TERMIANTO</t>
  </si>
  <si>
    <t>ONFERIMENTO DI INCARICO RELATIVO L’ASSISTENZA E LA DIFESA IN GIUDIZIO AVVERSO IL RICORSO TAR MI - NGR 290/2021 – NOTIFICATO DA KONE S.p.A.</t>
  </si>
  <si>
    <t>CONTRATTO PER ASSISTENZA LEGALE IN RELAZIONE ALLA GESTIONE DEL FINANZIAMENTO E ASSISTENZA ALLA SOCIETÀ NEI CONFRONTI DEGLI ENTI FINANZIATORI IN RELAZIONE ALLA PROCEDURA DI RIEQUILIBRIO ECONOMICO E FINANZIARIO</t>
  </si>
  <si>
    <t xml:space="preserve"> dal 1° settembre 2021 e terminerà in data 30 giugno 2022</t>
  </si>
  <si>
    <t>85.000 oltre oneri e contributi di legge</t>
  </si>
  <si>
    <t>Asseverazione partite di credito e debito tra l'ente Comune di Milano e SPV Linea M4 SPA per le finalità previste dal decreto legislativo 23 giugno 2011 n.118 per l'esercizio 2021</t>
  </si>
  <si>
    <t>anno 2021</t>
  </si>
  <si>
    <t>Redazione di 6 atti di servitù di sottosuolo per proprietà appartenenti a Istituti Ecclesiastici che saranno costituiti dal riconoscimento di un valore economico che M4 S.p.A. provvederà a concordare direttamente con le Proprietà</t>
  </si>
  <si>
    <t>12.000 oltre oneri e contributi di legge</t>
  </si>
  <si>
    <t>dal 24 settembre 2021 e avrà durata 12 mesi</t>
  </si>
  <si>
    <r>
      <rPr>
        <sz val="11"/>
        <color theme="1"/>
        <rFont val="Calibri"/>
        <family val="2"/>
      </rPr>
      <t>17.500 € per ogni rapporto bimestrale con incremento annuale del 3%</t>
    </r>
    <r>
      <rPr>
        <sz val="11"/>
        <color theme="1"/>
        <rFont val="Calibri"/>
        <family val="2"/>
        <scheme val="minor"/>
      </rPr>
      <t xml:space="preserve">
</t>
    </r>
  </si>
  <si>
    <t xml:space="preserve">Il presente incarico dovrà essere reso per una durata di 36 (trentasei) mesi decorrenti dalla stipula del contratto. E’ previsto l'esercizio della facoltà di proroga dell'oggetto contrattuale ai medesimi prezzi, patti e condizioni per un periodo massimo stimato di due mesi per l'individuazione di un nuovo contraente.
</t>
  </si>
  <si>
    <t>A.C.G. AUDITING &amp; CONSULTING GROUP SRL
RTI tra A.C.G Srl (capogruppo) e SILVIA BONINI (mandante)</t>
  </si>
  <si>
    <t>17.100 €</t>
  </si>
  <si>
    <t xml:space="preserve">Affidamento biennale
costo annuo 8.550€ </t>
  </si>
  <si>
    <t>assistenza e consulenza nell'ambito della gara per la gestione degli impianti pubblicitari nelle aree di cantiere - L’assistenza comprenderà la redazione di un parere legale  sul criterio di aggiudicazione, la revisione del bando e del disciplinare di gara oltre a colloqui telefonici ed incontri, sia in via telematica che di persona</t>
  </si>
  <si>
    <t>L'incarico decorre dalla data di sottoscrizione tra le Parti fino al completamento di tutte le attività previste nell'oggetto</t>
  </si>
  <si>
    <t xml:space="preserve">Contratto lavoro a tempo determinato (Cheri) </t>
  </si>
  <si>
    <t xml:space="preserve">dal 29/11/21 al 28/11/22
</t>
  </si>
  <si>
    <t>paga base 1.047,57
contingenza 516,43
premio produzione 215,94
edr 10,33
superminimo non assorbibile 241,06 importo ticket 11,00</t>
  </si>
  <si>
    <t>MERMEC STE/ex SIRTI SpA/M4</t>
  </si>
  <si>
    <t xml:space="preserve">La durata del presente incarico decorre dalla data presentazione del preventivo di spesa da parte del Consulente dell'11/10/2021 e sino a completamento di tutte le attività previste nell'oggetto
</t>
  </si>
  <si>
    <t>€ 2.160,00 al netto dell’IVA e degli oneri di legge e delle spese generali nella misura del 15%</t>
  </si>
  <si>
    <t>€ 2.500,00 al netto dell’IVA e degli oneri di legge e delle spese generali nella misura del 15%</t>
  </si>
  <si>
    <t>Conferimento di incarico per assistenza e rappresentanza nell’ambito del ricorso per denuncia di nuova opera ex artt. 1171 c.c., 688 e 669 c.p.c. promosso dalla Dott.ssa Mona Rita Yacoub a carico di M4 Spa
M4 S.p.A</t>
  </si>
  <si>
    <r>
      <t xml:space="preserve">- Revisione contabile del bilancio in forma abbreviata </t>
    </r>
    <r>
      <rPr>
        <b/>
        <sz val="11"/>
        <color theme="1"/>
        <rFont val="Calibri"/>
        <family val="2"/>
        <scheme val="minor"/>
      </rPr>
      <t>18.500</t>
    </r>
    <r>
      <rPr>
        <sz val="11"/>
        <color theme="1"/>
        <rFont val="Calibri"/>
        <family val="2"/>
        <scheme val="minor"/>
      </rPr>
      <t xml:space="preserve">
'- Verifica della regolare tenuta della contabilità </t>
    </r>
    <r>
      <rPr>
        <b/>
        <sz val="11"/>
        <color theme="1"/>
        <rFont val="Calibri"/>
        <family val="2"/>
        <scheme val="minor"/>
      </rPr>
      <t>3.500</t>
    </r>
    <r>
      <rPr>
        <sz val="11"/>
        <color theme="1"/>
        <rFont val="Calibri"/>
        <family val="2"/>
        <scheme val="minor"/>
      </rPr>
      <t xml:space="preserve">
'-Verifiche per la sottoscrizione delle dichiarazioni fiscali </t>
    </r>
    <r>
      <rPr>
        <b/>
        <sz val="11"/>
        <color theme="1"/>
        <rFont val="Calibri"/>
        <family val="2"/>
        <scheme val="minor"/>
      </rPr>
      <t>1.000</t>
    </r>
    <r>
      <rPr>
        <sz val="11"/>
        <color theme="1"/>
        <rFont val="Calibri"/>
        <family val="2"/>
        <scheme val="minor"/>
      </rPr>
      <t xml:space="preserve">
'- Revisione del reporting package annuale e revisione contabile limitata del reporting package semestrale sulla base degli IAS/IFRS </t>
    </r>
    <r>
      <rPr>
        <i/>
        <sz val="11"/>
        <color theme="1"/>
        <rFont val="Calibri"/>
        <family val="2"/>
        <scheme val="minor"/>
      </rPr>
      <t>(1) princi IAS/IFRS in vigore alla data della presente proposta</t>
    </r>
    <r>
      <rPr>
        <sz val="11"/>
        <color theme="1"/>
        <rFont val="Calibri"/>
        <family val="2"/>
        <scheme val="minor"/>
      </rPr>
      <t xml:space="preserve"> </t>
    </r>
    <r>
      <rPr>
        <b/>
        <sz val="11"/>
        <color theme="1"/>
        <rFont val="Calibri"/>
        <family val="2"/>
        <scheme val="minor"/>
      </rPr>
      <t>3.000</t>
    </r>
    <r>
      <rPr>
        <sz val="11"/>
        <color theme="1"/>
        <rFont val="Calibri"/>
        <family val="2"/>
        <scheme val="minor"/>
      </rPr>
      <t xml:space="preserve">
'- Assistenza metodologica nella predisposizione del bilancio in forma ordinaria a seguito dell'applicazione della direttiva europea 2013/34 e dei nuovi OIC </t>
    </r>
    <r>
      <rPr>
        <i/>
        <sz val="11"/>
        <color theme="1"/>
        <rFont val="Calibri"/>
        <family val="2"/>
        <scheme val="minor"/>
      </rPr>
      <t>(2) nella versione ultima ad oggi emessa del 22/12/2017</t>
    </r>
    <r>
      <rPr>
        <sz val="11"/>
        <color theme="1"/>
        <rFont val="Calibri"/>
        <family val="2"/>
        <scheme val="minor"/>
      </rPr>
      <t xml:space="preserve"> </t>
    </r>
    <r>
      <rPr>
        <b/>
        <sz val="11"/>
        <color theme="1"/>
        <rFont val="Calibri"/>
        <family val="2"/>
        <scheme val="minor"/>
      </rPr>
      <t>3.000</t>
    </r>
    <r>
      <rPr>
        <sz val="11"/>
        <color theme="1"/>
        <rFont val="Calibri"/>
        <family val="2"/>
        <scheme val="minor"/>
      </rPr>
      <t xml:space="preserve">
</t>
    </r>
    <r>
      <rPr>
        <b/>
        <sz val="11"/>
        <color theme="1"/>
        <rFont val="Calibri"/>
        <family val="2"/>
        <scheme val="minor"/>
      </rPr>
      <t>Euro 28</t>
    </r>
    <r>
      <rPr>
        <b/>
        <sz val="11"/>
        <color theme="1"/>
        <rFont val="Calibri"/>
        <family val="2"/>
      </rPr>
      <t>.000 per ciascun anno</t>
    </r>
    <r>
      <rPr>
        <sz val="11"/>
        <color theme="1"/>
        <rFont val="Calibri"/>
        <family val="2"/>
        <scheme val="minor"/>
      </rPr>
      <t xml:space="preserve">
Si aggiungono rimborsi spese del 5% del valore contrattuale
</t>
    </r>
    <r>
      <rPr>
        <sz val="13"/>
        <color theme="1"/>
        <rFont val="Calibri"/>
        <family val="2"/>
        <scheme val="minor"/>
      </rPr>
      <t>*</t>
    </r>
    <r>
      <rPr>
        <sz val="11"/>
        <color theme="1"/>
        <rFont val="Calibri"/>
        <family val="2"/>
        <scheme val="minor"/>
      </rPr>
      <t xml:space="preserve">875€ a fronte di ogni verifica svolta
</t>
    </r>
    <r>
      <rPr>
        <b/>
        <sz val="11"/>
        <color theme="1"/>
        <rFont val="Calibri"/>
        <family val="2"/>
        <scheme val="minor"/>
      </rPr>
      <t>*</t>
    </r>
    <r>
      <rPr>
        <sz val="11"/>
        <color theme="1"/>
        <rFont val="Calibri"/>
        <family val="2"/>
        <scheme val="minor"/>
      </rPr>
      <t xml:space="preserve">529,79€ a fronte di ogni verifica svolta
</t>
    </r>
  </si>
  <si>
    <r>
      <t xml:space="preserve">20/12/2018
</t>
    </r>
    <r>
      <rPr>
        <sz val="13"/>
        <color theme="1"/>
        <rFont val="Calibri"/>
        <family val="2"/>
        <scheme val="minor"/>
      </rPr>
      <t>*</t>
    </r>
    <r>
      <rPr>
        <sz val="11"/>
        <color theme="1"/>
        <rFont val="Calibri"/>
        <family val="2"/>
        <scheme val="minor"/>
      </rPr>
      <t xml:space="preserve">20/09/2021
</t>
    </r>
    <r>
      <rPr>
        <sz val="13"/>
        <color theme="1"/>
        <rFont val="Calibri"/>
        <family val="2"/>
        <scheme val="minor"/>
      </rPr>
      <t>*</t>
    </r>
    <r>
      <rPr>
        <sz val="11"/>
        <color theme="1"/>
        <rFont val="Calibri"/>
        <family val="2"/>
        <scheme val="minor"/>
      </rPr>
      <t>31/01/2022</t>
    </r>
  </si>
  <si>
    <r>
      <t xml:space="preserve">Triennale. 
Terninerà con l'approvazione del bilancio d'esercizio della Società al 31.12.2020
</t>
    </r>
    <r>
      <rPr>
        <sz val="13"/>
        <color theme="1"/>
        <rFont val="Calibri"/>
        <family val="2"/>
        <scheme val="minor"/>
      </rPr>
      <t>*</t>
    </r>
    <r>
      <rPr>
        <sz val="11"/>
        <color theme="1"/>
        <rFont val="Calibri"/>
        <family val="2"/>
        <scheme val="minor"/>
      </rPr>
      <t xml:space="preserve">Verifica della corretta tenuta della contabilità per il periodo 01/01/21 al 30/09/21
</t>
    </r>
    <r>
      <rPr>
        <sz val="13"/>
        <color theme="1"/>
        <rFont val="Calibri"/>
        <family val="2"/>
        <scheme val="minor"/>
      </rPr>
      <t>*</t>
    </r>
    <r>
      <rPr>
        <sz val="11"/>
        <color theme="1"/>
        <rFont val="Calibri"/>
        <family val="2"/>
        <scheme val="minor"/>
      </rPr>
      <t>Verifica della corretta tenuta della contabilità per il periodo 01/10/21 al 25/11/21</t>
    </r>
  </si>
  <si>
    <t>DUPLEX SRL</t>
  </si>
  <si>
    <t>00966260960</t>
  </si>
  <si>
    <r>
      <rPr>
        <u/>
        <sz val="11"/>
        <color theme="1"/>
        <rFont val="Calibri"/>
        <family val="2"/>
        <scheme val="minor"/>
      </rPr>
      <t xml:space="preserve">Macchine già in uso
</t>
    </r>
    <r>
      <rPr>
        <sz val="11"/>
        <color theme="1"/>
        <rFont val="Calibri"/>
        <family val="2"/>
        <scheme val="minor"/>
      </rPr>
      <t xml:space="preserve">Noleggio n. 3 multifunzione Konika-Minolta </t>
    </r>
  </si>
  <si>
    <t>12 mesi con rinnovo automatico di tre mesi in tre mesi, decorrenza 10/11/2021</t>
  </si>
  <si>
    <t xml:space="preserve">nr. 4 canoni periodici trimestrali, per € 270= a singolo canone
costo copie € 0,0055 cad b/n; 
costo copie 0,048 cad. colori </t>
  </si>
  <si>
    <t>00709600159</t>
  </si>
  <si>
    <t xml:space="preserve">- Revisione contabile del bilancio di esercizio
'- Verifica della regolare tenuta della contabilità
'- Revisione del reporting package annuale e revisione contabile limitata del reporting package semestrale sulla base degli IAS/IFRS
'-Verifiche per la sottoscrizione delle dichiarazioni fiscali
'-Revisione contabile annualedel prospetto relativo alle partite di credito e debito tra l'ente Comune di Milano e SPV Linea M4 SPA per le finalità previste dal decreto legislativo 23 giugno 2011 n.118 
</t>
  </si>
  <si>
    <t>Triennio 2021 - 2023</t>
  </si>
  <si>
    <r>
      <t xml:space="preserve">- Revisione contabile del bilancio di esercizio </t>
    </r>
    <r>
      <rPr>
        <b/>
        <sz val="11"/>
        <color theme="1"/>
        <rFont val="Calibri"/>
        <family val="2"/>
        <scheme val="minor"/>
      </rPr>
      <t xml:space="preserve">22.500 EUR </t>
    </r>
    <r>
      <rPr>
        <sz val="11"/>
        <color theme="1"/>
        <rFont val="Calibri"/>
        <family val="2"/>
        <scheme val="minor"/>
      </rPr>
      <t xml:space="preserve">
- Verifica della regolare tenuta della contabilità </t>
    </r>
    <r>
      <rPr>
        <b/>
        <sz val="11"/>
        <color theme="1"/>
        <rFont val="Calibri"/>
        <family val="2"/>
        <scheme val="minor"/>
      </rPr>
      <t>1.500 EUR</t>
    </r>
    <r>
      <rPr>
        <sz val="11"/>
        <color theme="1"/>
        <rFont val="Calibri"/>
        <family val="2"/>
        <scheme val="minor"/>
      </rPr>
      <t xml:space="preserve">
</t>
    </r>
    <r>
      <rPr>
        <b/>
        <sz val="11"/>
        <color theme="1"/>
        <rFont val="Calibri"/>
        <family val="2"/>
        <scheme val="minor"/>
      </rPr>
      <t>-</t>
    </r>
    <r>
      <rPr>
        <sz val="11"/>
        <color theme="1"/>
        <rFont val="Calibri"/>
        <family val="2"/>
        <scheme val="minor"/>
      </rPr>
      <t xml:space="preserve"> Revisione del reporting package annuale e revisione contabile limitata del reporting package semestrale sulla base degli IAS/IFRS </t>
    </r>
    <r>
      <rPr>
        <b/>
        <sz val="11"/>
        <color theme="1"/>
        <rFont val="Calibri"/>
        <family val="2"/>
        <scheme val="minor"/>
      </rPr>
      <t xml:space="preserve">6.500 EUR
- </t>
    </r>
    <r>
      <rPr>
        <sz val="11"/>
        <color theme="1"/>
        <rFont val="Calibri"/>
        <family val="2"/>
        <scheme val="minor"/>
      </rPr>
      <t xml:space="preserve">Verifiche per la sottoscrizione delle dichiarazioni fiscali </t>
    </r>
    <r>
      <rPr>
        <b/>
        <sz val="11"/>
        <color theme="1"/>
        <rFont val="Calibri"/>
        <family val="2"/>
        <scheme val="minor"/>
      </rPr>
      <t>1.000 EUR</t>
    </r>
    <r>
      <rPr>
        <sz val="11"/>
        <color theme="1"/>
        <rFont val="Calibri"/>
        <family val="2"/>
        <scheme val="minor"/>
      </rPr>
      <t xml:space="preserve">
- Revisione contabile annuale del prospetto relativo alle partite di credito e debito tra l'ente Comune di Milano e SPV Linea M4 SPA per le finalità previste dal decreto legislativo 23 giugno 2011 n.118 </t>
    </r>
    <r>
      <rPr>
        <b/>
        <sz val="11"/>
        <color theme="1"/>
        <rFont val="Calibri"/>
        <family val="2"/>
        <scheme val="minor"/>
      </rPr>
      <t>3.500 EUR</t>
    </r>
    <r>
      <rPr>
        <sz val="11"/>
        <color theme="1"/>
        <rFont val="Calibri"/>
        <family val="2"/>
        <scheme val="minor"/>
      </rPr>
      <t xml:space="preserve">
</t>
    </r>
  </si>
  <si>
    <t>Incarico per l'assistenza alle attività dell'OdV ex D.Lgs 231/2001 - Esercizio 2022</t>
  </si>
  <si>
    <t>Il presente contratto decorre dalla sua sottoscrizione e avrà termine in data 31 dicembre 2022</t>
  </si>
  <si>
    <t>6.700 €  oltre spese generali e CPA al netto dell’IVA</t>
  </si>
  <si>
    <t>*</t>
  </si>
  <si>
    <t>Conferimento di incarico professionale per l'assistenza, rappresentanza e redazione di un atto di transazione con società KONE</t>
  </si>
  <si>
    <t>02895590962</t>
  </si>
  <si>
    <t>Oggetto del presente incarico è l’assistenza legale relativa all’annullamento della procedura aperta svolta per il servizio di revisore legale dei conti per il triennio 2021 - 2023.</t>
  </si>
  <si>
    <t>La durata del presente incarico decorre dalla data di presentazione del preventivo del 30 novembre 2021 e sino al completamento di tutte le attività previste nell'oggetto</t>
  </si>
  <si>
    <t>€ 4.000 al netto dell’IVA e degli oneri di legge e delle spese generali nella misura del 15%</t>
  </si>
  <si>
    <t>CONFERIMENTO DI INCARICO PER ASSISTENZA, DIFESA E RAPPRESENTANZA PER IL DEPOSITO DI N. 4 ISTANZE VOLTE AD OTTENERE LA RICUSAZIONE DEL NOMINATO TERZO TECNICO DOTT.SSA ANGELA POLETTI NELL’AMBITO DEI PROCEDIMENTI EX ART. 21, D.P.R. 327/2001</t>
  </si>
  <si>
    <t xml:space="preserve">La durata del presente incarico decorre dalla data presentazione del preventivo di spesa da parte del Consulente del 3.12.2021 e sino al completamento di tutte le attività elencate nell'oggetto
</t>
  </si>
  <si>
    <t>1.000 euro oltre a spese generali al 15%, IVA e CPA come per legge</t>
  </si>
  <si>
    <t>Becan Srl</t>
  </si>
  <si>
    <t>02190170155</t>
  </si>
  <si>
    <t>CONFERIMENTO INCARICO ESPLETAMENTO SERVIZIO PULIZIE E PICCOLE MANUTENZIONI (EDILI, ELETTRICHE, IDRAULICHE)</t>
  </si>
  <si>
    <t>07/03/2022-07/03/2024 PROROGABILE PER UN PERIODO MASSIMO DI 2 MESI</t>
  </si>
  <si>
    <t>ITS Controlli Tecnici Spa</t>
  </si>
  <si>
    <t>15323181006</t>
  </si>
  <si>
    <t>Servizio di Technical Controller in favore di M4 finalizzato a supportare la società nelle attività di coordinamento e controllo del progetto di costrizione della nuova linea M4</t>
  </si>
  <si>
    <t>Incarico per il servizio di consulente tecnico di parte nell'ambito nel giudizio pendente dinazi la Corte di Appello di Milano tra Alea Domus Srl  e M4</t>
  </si>
  <si>
    <t>Il presente incarico decorrerà dalla data di sottoscrizione e terminerà con il completamento di tutte le
attività elencate nell'oggetto</t>
  </si>
  <si>
    <t xml:space="preserve">2.500€ oltre oneri e contributi di legge con le seguenti modalità:
500€ al conferimento incarico
2.000€ al termine dell'incarico
</t>
  </si>
  <si>
    <t>2022-2024</t>
  </si>
  <si>
    <t>STUDIO ROCCO
Prof. Dott. Francesco Rocco</t>
  </si>
  <si>
    <t>RCCFNC63B11H501D</t>
  </si>
  <si>
    <t>Conferimento di incarico per la redazione di un parere in materia tributaria afferente l'applicazione dell'aliquota iva ridotta al 10%</t>
  </si>
  <si>
    <t>Il presente incarico decorrerà dalla data di sottoscrizione e terminerà con l'emissione del da inviarsi entro il 2 maggio 2022</t>
  </si>
  <si>
    <t>Assistenza, rappresentanza e difesa di M4 nell’ambito del ricorso ex art. 702-bis e ss. c.p.c. promosso da Immobiliare Forlanini S.r.l.</t>
  </si>
  <si>
    <t>6.000 oltre iva e contributi previdenziali dovuti per legge, CPA e spese vive</t>
  </si>
  <si>
    <t>Assistenza, la rappresentanza e la difesa nel ricorso promosso da L.T.M. S.r.l. - Lavorazione Tubi Manicotti, dinanzi al TAR Lombardia – Milano per l’annullamento, previa sospensiva, del provvedimento emesso dalla Società con il quale è stato negato il gradimento a un contratto di fornitura con il Consorzio MM4 e revocati i provvedimenti di gradimento precedentemente concessi</t>
  </si>
  <si>
    <t>Il presente incarico decorrerà dalla data di sottoscrizione tra le Parti fino al completamento di tutte le attività elencate nell'oggetto</t>
  </si>
  <si>
    <t>€ 6.000 al netto dell’IVA e degli oneri di legge e delle spese generali nella misura del 15%</t>
  </si>
  <si>
    <t>REPORT CONTRATTI _ TRIMESTRE 01/04/2022 - 30/06/2022</t>
  </si>
  <si>
    <t>IMPORTO CORRISPOSTO (IVA INCLUSA) NEL TRIMESTRE DI RIFERIMENTO        
01.04.2022 - 30.06.2022</t>
  </si>
  <si>
    <t>IMPORTO PROGRESSIVO  LIQUIDATO (IVA INCLUSA) AL 30/06/2022</t>
  </si>
  <si>
    <t>IMPORTO VERSATO (IVA INCLUSA) NEL TRIMESTRE DI RIFERIMENTO        
01/04/22 - 30/06/22</t>
  </si>
  <si>
    <t>IMPORTO PROGRESSIVO VERSATO (IVA INCLUSA) AL 30/06/2022</t>
  </si>
  <si>
    <t>Assistenza, rappresentanza e difesa di M4 nell’ambito del giudizio di appello promosso da Fondazione Istituto dei Ciechi di Milano</t>
  </si>
  <si>
    <t>Il presente incarico terminerà con il completamento di tutte le attività riportate in oggetto, fino all'adozione del giudizio o, in caso di definizione transattiva della lite, per tuatta la durata della gestione della trattativa fino all'eventuale sottoscrizione cdel relativo atto</t>
  </si>
  <si>
    <t>20.000 oltre iva e contributi previdenziali dovuti per legge, CPA e spese generali 15%</t>
  </si>
  <si>
    <t>Il presente incarico decorrerà dalla data di sottoscrizione dello stesso e terminerà con il completamento di tutte le attività riportate in oggetto</t>
  </si>
  <si>
    <t>06/11/2020
06/06/2022</t>
  </si>
  <si>
    <t>Il presente contratto decorrerà a partire alla data di sottoscrizione e terminerà ad esaurimento dell'importo contrattuale
- 06/06/2022 integrazione contrattuale</t>
  </si>
  <si>
    <r>
      <t>39.000 oltre oneri e contributi di legge + integrazione 3.808,99 per</t>
    </r>
    <r>
      <rPr>
        <b/>
        <sz val="11"/>
        <color theme="1"/>
        <rFont val="Calibri"/>
        <family val="2"/>
      </rPr>
      <t xml:space="preserve"> totale</t>
    </r>
    <r>
      <rPr>
        <sz val="11"/>
        <color theme="1"/>
        <rFont val="Calibri"/>
        <family val="2"/>
      </rPr>
      <t xml:space="preserve"> </t>
    </r>
    <r>
      <rPr>
        <b/>
        <sz val="11"/>
        <color theme="1"/>
        <rFont val="Calibri"/>
        <family val="2"/>
      </rPr>
      <t>42.808,90</t>
    </r>
  </si>
  <si>
    <t>4.500 oltre iva e contributi previdenziali dovuti per legge, CPA e spese generali 15%</t>
  </si>
  <si>
    <t>Studio Legale Associato Todarello &amp; Partners</t>
  </si>
  <si>
    <t>06268550966</t>
  </si>
  <si>
    <t>Assistenza, rappresentanza e difesa di M4 per la proposizione di quattro ricorsi di opposizione alla stima definitiva dell’indennità di esproprio/asservimento operata dal Collegio peritale incaricato, relativamente alle proprietà site in Milano, Via San Damiano e Corso di Porta Venezia</t>
  </si>
  <si>
    <t>Il presente incarico decorrerà dalla data di presentazione del preventivo da parte dei Consulenti in data 25 marzo 2022 e terminerà con il completamento di tutte le attività riportate in oggetto</t>
  </si>
  <si>
    <t>24.000 oltre iva e contributi previdenziali dovuti per legge, CPA e spese generali 7%</t>
  </si>
  <si>
    <t>Ft. n. 52 del 9/05/2022</t>
  </si>
  <si>
    <t>Ft. n. 64 del 12/05/2022</t>
  </si>
  <si>
    <t>Incarico relativo all'assistenza  e tutela nel giudizio dinanzi alla corte di appello di Milano - Ricorso presentato da Immobiliare Forlanini Srl per accettare e richiedere l'indennità per esproprio (R.G. 3590/2019)</t>
  </si>
  <si>
    <t>Ft. n. 190 del 13/05/2022</t>
  </si>
  <si>
    <t>Ft. n. 2802 del 13/05/2022</t>
  </si>
  <si>
    <t>ft n. 2022104105 del 22/04/2022</t>
  </si>
  <si>
    <t xml:space="preserve">Consulenza tecnica di parte dinanzi alla Corte Di Appello di Milano da parte di Immobiliare Forlanini Srl nei confronti di M4 Spa e Comune di Milano per la determinazione definitiva indennità di esproprio </t>
  </si>
  <si>
    <t>decorrerà dalla data di approvazione del preventivo di spese ovvero dal 28/04/22 e terminerà con il completamento di tutte le attività oggetto dell'incarico</t>
  </si>
  <si>
    <t>5.000 oltre agli oneri dovuti per legge</t>
  </si>
  <si>
    <t xml:space="preserve">Consulenza per la redazione relazione tecnica replica contestazioni da parte della Fondazione Istituto dei Ciechi di Milano a carico di M4 Spa nell'ambito del giudizio di appello dinanzi al Consiglio di Stato per annullamento e/o riforma sentenza TAR Lombardia  </t>
  </si>
  <si>
    <t>decorrerà dalla data di approvazione del preventivo avvenuta in data 18/05/22 e terminerà con il completamento di tutte le attività oggetto dell'incarico</t>
  </si>
  <si>
    <t>5.000 al netto dell'iva e del contributo 4% Inarcassa</t>
  </si>
  <si>
    <t>Impresa Generale di Costruzioni G.B</t>
  </si>
  <si>
    <t>04022210985</t>
  </si>
  <si>
    <t>Lavori edili di adeguamento nuova sede di Piazza Castello</t>
  </si>
  <si>
    <t>Assistenza, rappresentanza e difesa di M4 nel giudizio promosso con ricorso da alcuni condomini del Condominio di Corso Monforte 45, al fine di contestare la determinazione dell'indennità definitiva di asservimento calcolata nella Relazione di stima della Terna Tecnica definita a seguito di procedura svolta ex art. 21 DPR n. 327/2001</t>
  </si>
  <si>
    <t>Ft. n. 211 del 07/06/2022</t>
  </si>
  <si>
    <t xml:space="preserve">CONFERIMENTO DI INCARICO PER IL SERVIZIO DI DEPOSITO DI N. 15 ATTI DI ISTANZA PRESSO IL TRIBUNALE DI MILANO. </t>
  </si>
  <si>
    <t>proforma n. 48 del 9/06/22</t>
  </si>
  <si>
    <t>Ft n. 2220100006 del 14/02/22
Ft n. 2220100031 del 03/05/22</t>
  </si>
  <si>
    <t>22/04/2022
23/06/2022</t>
  </si>
  <si>
    <t>rif. bonifico bancario nr. 19
rif. bonifico bancario nr. 44</t>
  </si>
  <si>
    <t>Assistenza, rappresentanza e difesa di M4 nel procedimento di mediazione civile promosso dalla Parrocchia di San Vittore al Corpo</t>
  </si>
  <si>
    <t>Il presente incarico decorre dalla data del 10 giugno 2022 e fino al completamento di tutte e terminerà con il completamento di tutte le attività riportate in oggetto</t>
  </si>
  <si>
    <t>4.000 oltre iva e contributi previdenziali dovuti per legge, CPA e spese generali 7%</t>
  </si>
  <si>
    <t>proforma del 24/06/22</t>
  </si>
  <si>
    <t>Ft 823 del 27/06/2022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</si>
</sst>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43" formatCode="_-* #,##0.00_-;\-* #,##0.00_-;_-* &quot;-&quot;??_-;_-@_-"/>
    <numFmt numFmtId="164" formatCode="&quot;€&quot;\ #,##0_);[Red]\(&quot;€&quot;\ #,##0\)"/>
    <numFmt numFmtId="165" formatCode="#,##0\ [$€-1];[Red]\-#,##0\ [$€-1]"/>
    <numFmt numFmtId="166" formatCode="_-* #,##0_-;\-* #,##0_-;_-* &quot;-&quot;??_-;_-@_-"/>
  </numFmts>
  <fonts count="18">
    <font>
      <sz val="11"/>
      <color theme="1"/>
      <name val="Calibri"/>
      <family val="2"/>
      <scheme val="minor"/>
    </font>
    <font>
      <b/>
      <sz val="11"/>
      <color theme="1"/>
      <name val="Calibri"/>
      <family val="2"/>
      <scheme val="minor"/>
    </font>
    <font>
      <b/>
      <sz val="11"/>
      <color rgb="FF0070C0"/>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font>
    <font>
      <i/>
      <sz val="11"/>
      <color theme="1"/>
      <name val="Calibri"/>
      <family val="2"/>
      <scheme val="minor"/>
    </font>
    <font>
      <sz val="15"/>
      <color theme="1"/>
      <name val="Calibri"/>
      <family val="2"/>
      <scheme val="minor"/>
    </font>
    <font>
      <sz val="15"/>
      <color theme="1"/>
      <name val="Calibri"/>
      <family val="2"/>
    </font>
    <font>
      <sz val="11"/>
      <color rgb="FF0070C0"/>
      <name val="Calibri"/>
      <family val="2"/>
      <scheme val="minor"/>
    </font>
    <font>
      <sz val="11"/>
      <name val="Calibri"/>
      <family val="2"/>
      <scheme val="minor"/>
    </font>
    <font>
      <sz val="11"/>
      <color rgb="FFFF0000"/>
      <name val="Calibri"/>
      <family val="2"/>
      <scheme val="minor"/>
    </font>
    <font>
      <strike/>
      <sz val="11"/>
      <color theme="1"/>
      <name val="Calibri"/>
      <family val="2"/>
    </font>
    <font>
      <sz val="13"/>
      <color theme="1"/>
      <name val="Calibri"/>
      <family val="2"/>
      <scheme val="minor"/>
    </font>
    <font>
      <sz val="9"/>
      <color theme="1"/>
      <name val="Calibri"/>
      <family val="2"/>
      <scheme val="minor"/>
    </font>
    <font>
      <sz val="11"/>
      <color rgb="FF000000"/>
      <name val="CIDFont+F4"/>
    </font>
    <font>
      <u/>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thin">
        <color indexed="64"/>
      </bottom>
      <diagonal/>
    </border>
    <border>
      <left/>
      <right/>
      <top style="hair">
        <color auto="1"/>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9">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66">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quotePrefix="1" applyBorder="1" applyAlignment="1">
      <alignment horizontal="left"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3" borderId="1" xfId="0" applyFill="1" applyBorder="1" applyAlignment="1">
      <alignment horizontal="center" vertical="center"/>
    </xf>
    <xf numFmtId="14" fontId="0" fillId="0" borderId="1" xfId="0" applyNumberFormat="1" applyBorder="1" applyAlignment="1">
      <alignment horizontal="center" vertical="center" wrapText="1"/>
    </xf>
    <xf numFmtId="43" fontId="0" fillId="0" borderId="1" xfId="1" quotePrefix="1" applyFont="1" applyBorder="1" applyAlignment="1">
      <alignment horizontal="left" vertical="center" wrapText="1"/>
    </xf>
    <xf numFmtId="0" fontId="2" fillId="0" borderId="1" xfId="0" applyFont="1" applyBorder="1" applyAlignment="1">
      <alignment horizontal="center" vertical="center"/>
    </xf>
    <xf numFmtId="0" fontId="2" fillId="0" borderId="1" xfId="0" quotePrefix="1" applyFont="1" applyBorder="1" applyAlignment="1">
      <alignment horizontal="center" vertical="center" wrapText="1"/>
    </xf>
    <xf numFmtId="0" fontId="5" fillId="0" borderId="0" xfId="0" applyFont="1"/>
    <xf numFmtId="43" fontId="0" fillId="0" borderId="1" xfId="1" applyFont="1" applyBorder="1" applyAlignment="1">
      <alignment horizontal="left" vertical="center" wrapText="1"/>
    </xf>
    <xf numFmtId="43" fontId="0" fillId="0" borderId="1" xfId="1" quotePrefix="1" applyFont="1" applyBorder="1" applyAlignment="1">
      <alignment horizontal="center" vertical="center" wrapText="1"/>
    </xf>
    <xf numFmtId="43" fontId="0" fillId="0" borderId="1" xfId="1" applyFont="1" applyBorder="1" applyAlignment="1">
      <alignment horizontal="left" vertical="center"/>
    </xf>
    <xf numFmtId="43" fontId="0" fillId="0" borderId="0" xfId="1" applyFont="1" applyAlignment="1">
      <alignment horizontal="center" vertical="center"/>
    </xf>
    <xf numFmtId="43" fontId="0" fillId="2" borderId="1" xfId="1" applyFont="1" applyFill="1" applyBorder="1" applyAlignment="1">
      <alignment horizontal="center" vertical="center" wrapText="1"/>
    </xf>
    <xf numFmtId="43" fontId="0" fillId="3" borderId="1" xfId="1" applyFont="1" applyFill="1" applyBorder="1" applyAlignment="1">
      <alignment horizontal="left" vertical="center" wrapText="1"/>
    </xf>
    <xf numFmtId="0" fontId="2" fillId="2" borderId="2" xfId="0" applyFont="1" applyFill="1" applyBorder="1" applyAlignment="1">
      <alignment horizontal="center" vertical="center" wrapText="1"/>
    </xf>
    <xf numFmtId="14" fontId="0" fillId="0" borderId="3" xfId="0" applyNumberFormat="1" applyBorder="1" applyAlignment="1">
      <alignment horizontal="center" vertical="center"/>
    </xf>
    <xf numFmtId="0" fontId="2" fillId="0" borderId="1" xfId="0" quotePrefix="1" applyFont="1" applyBorder="1" applyAlignment="1">
      <alignment horizontal="center" vertical="center"/>
    </xf>
    <xf numFmtId="0" fontId="0" fillId="0" borderId="0" xfId="0" applyAlignment="1">
      <alignment horizontal="right" vertical="center"/>
    </xf>
    <xf numFmtId="0" fontId="0" fillId="2" borderId="1" xfId="0" applyFill="1" applyBorder="1" applyAlignment="1">
      <alignment horizontal="right" vertical="center" wrapText="1"/>
    </xf>
    <xf numFmtId="0" fontId="0" fillId="4" borderId="1" xfId="0" applyFill="1" applyBorder="1" applyAlignment="1">
      <alignment horizontal="left" vertical="center" wrapText="1"/>
    </xf>
    <xf numFmtId="4" fontId="0" fillId="0" borderId="1" xfId="0" applyNumberFormat="1" applyBorder="1" applyAlignment="1">
      <alignment horizontal="right"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14" fontId="3" fillId="0" borderId="3" xfId="0" applyNumberFormat="1" applyFont="1" applyBorder="1" applyAlignment="1">
      <alignment horizontal="center" vertical="center"/>
    </xf>
    <xf numFmtId="43" fontId="0" fillId="0" borderId="1" xfId="5" quotePrefix="1" applyFont="1" applyBorder="1" applyAlignment="1">
      <alignment horizontal="left" vertical="center" wrapText="1"/>
    </xf>
    <xf numFmtId="14" fontId="3"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0" fillId="0" borderId="1" xfId="0" quotePrefix="1" applyNumberFormat="1" applyBorder="1" applyAlignment="1">
      <alignment horizontal="left" vertical="center" wrapText="1"/>
    </xf>
    <xf numFmtId="165" fontId="4" fillId="0" borderId="1" xfId="0" applyNumberFormat="1" applyFont="1" applyBorder="1" applyAlignment="1">
      <alignment horizontal="left" vertical="center"/>
    </xf>
    <xf numFmtId="0" fontId="0" fillId="0" borderId="1" xfId="1" quotePrefix="1" applyNumberFormat="1" applyFont="1" applyBorder="1" applyAlignment="1">
      <alignment horizontal="left" vertical="center" wrapText="1"/>
    </xf>
    <xf numFmtId="43" fontId="0" fillId="0" borderId="1" xfId="8" quotePrefix="1" applyFont="1" applyBorder="1" applyAlignment="1">
      <alignment horizontal="left" vertical="center" wrapText="1"/>
    </xf>
    <xf numFmtId="0" fontId="2" fillId="2" borderId="4" xfId="0" applyFont="1" applyFill="1" applyBorder="1" applyAlignment="1">
      <alignment horizontal="center" vertical="center" wrapText="1"/>
    </xf>
    <xf numFmtId="0" fontId="0" fillId="0" borderId="1" xfId="0" applyBorder="1" applyAlignment="1">
      <alignment horizontal="left" vertical="center"/>
    </xf>
    <xf numFmtId="165" fontId="0" fillId="0" borderId="1" xfId="0" applyNumberFormat="1" applyBorder="1" applyAlignment="1">
      <alignment horizontal="left" vertical="center"/>
    </xf>
    <xf numFmtId="3" fontId="0" fillId="0" borderId="1" xfId="0" quotePrefix="1" applyNumberFormat="1" applyBorder="1" applyAlignment="1">
      <alignment horizontal="left" vertical="center"/>
    </xf>
    <xf numFmtId="165" fontId="0" fillId="0" borderId="1" xfId="0" applyNumberFormat="1" applyBorder="1" applyAlignment="1">
      <alignment horizontal="left" vertical="center" wrapText="1"/>
    </xf>
    <xf numFmtId="14" fontId="0" fillId="0" borderId="1" xfId="0" applyNumberFormat="1" applyBorder="1" applyAlignment="1">
      <alignment horizontal="left" vertical="center" wrapText="1"/>
    </xf>
    <xf numFmtId="166" fontId="3" fillId="0" borderId="1" xfId="1" quotePrefix="1" applyNumberFormat="1" applyBorder="1" applyAlignment="1">
      <alignment horizontal="left" vertical="center" wrapText="1"/>
    </xf>
    <xf numFmtId="43" fontId="3" fillId="0" borderId="1" xfId="1" quotePrefix="1" applyBorder="1" applyAlignment="1">
      <alignment horizontal="left" vertical="center" wrapText="1"/>
    </xf>
    <xf numFmtId="165" fontId="3" fillId="0" borderId="1" xfId="1" quotePrefix="1" applyNumberFormat="1" applyBorder="1" applyAlignment="1">
      <alignment horizontal="left" vertical="center" wrapText="1"/>
    </xf>
    <xf numFmtId="0" fontId="4" fillId="0" borderId="1" xfId="0" quotePrefix="1" applyFont="1" applyBorder="1" applyAlignment="1">
      <alignment horizontal="left" vertical="center" wrapText="1"/>
    </xf>
    <xf numFmtId="43" fontId="0" fillId="0" borderId="1" xfId="1" quotePrefix="1" applyFont="1" applyBorder="1" applyAlignment="1">
      <alignment horizontal="right" vertical="center" wrapText="1"/>
    </xf>
    <xf numFmtId="43" fontId="0" fillId="0" borderId="1" xfId="1" applyFont="1" applyBorder="1" applyAlignment="1">
      <alignment horizontal="right" vertical="center" wrapText="1"/>
    </xf>
    <xf numFmtId="43" fontId="0" fillId="0" borderId="1" xfId="1" applyFont="1" applyBorder="1" applyAlignment="1">
      <alignment horizontal="right" vertical="center"/>
    </xf>
    <xf numFmtId="43" fontId="0" fillId="3" borderId="1" xfId="1" applyFont="1" applyFill="1" applyBorder="1" applyAlignment="1">
      <alignment horizontal="right" vertical="center" wrapText="1"/>
    </xf>
    <xf numFmtId="43" fontId="1" fillId="0" borderId="1" xfId="1" quotePrefix="1" applyFont="1" applyBorder="1" applyAlignment="1">
      <alignment horizontal="right" vertical="center" wrapText="1"/>
    </xf>
    <xf numFmtId="43" fontId="0" fillId="0" borderId="1" xfId="1" quotePrefix="1" applyFont="1" applyBorder="1" applyAlignment="1">
      <alignment horizontal="right" vertical="center"/>
    </xf>
    <xf numFmtId="43" fontId="0" fillId="0" borderId="1" xfId="7" quotePrefix="1" applyFont="1" applyBorder="1" applyAlignment="1">
      <alignment horizontal="right" vertical="center" wrapText="1"/>
    </xf>
    <xf numFmtId="43" fontId="3" fillId="0" borderId="1" xfId="1" applyBorder="1" applyAlignment="1">
      <alignment horizontal="center" vertical="center"/>
    </xf>
    <xf numFmtId="0" fontId="3" fillId="4" borderId="1" xfId="0" applyFont="1" applyFill="1" applyBorder="1" applyAlignment="1">
      <alignment horizontal="left" vertical="center" wrapText="1"/>
    </xf>
    <xf numFmtId="14" fontId="3" fillId="4" borderId="1" xfId="0" applyNumberFormat="1" applyFont="1" applyFill="1" applyBorder="1" applyAlignment="1">
      <alignment horizontal="center" vertical="center" wrapText="1"/>
    </xf>
    <xf numFmtId="165" fontId="4" fillId="0" borderId="1" xfId="0" quotePrefix="1" applyNumberFormat="1" applyFont="1" applyBorder="1" applyAlignment="1">
      <alignment horizontal="left" vertical="center" wrapText="1"/>
    </xf>
    <xf numFmtId="14" fontId="0" fillId="4" borderId="1" xfId="0" applyNumberFormat="1" applyFill="1" applyBorder="1" applyAlignment="1">
      <alignment horizontal="center" vertical="center" wrapText="1"/>
    </xf>
    <xf numFmtId="43" fontId="0" fillId="0" borderId="1" xfId="1" applyFont="1" applyBorder="1" applyAlignment="1">
      <alignment horizontal="center" vertical="center" wrapText="1"/>
    </xf>
    <xf numFmtId="166" fontId="0" fillId="0" borderId="1" xfId="1" quotePrefix="1" applyNumberFormat="1" applyFont="1" applyBorder="1" applyAlignment="1">
      <alignment vertical="center" wrapText="1"/>
    </xf>
    <xf numFmtId="166" fontId="0" fillId="0" borderId="1" xfId="1" quotePrefix="1" applyNumberFormat="1" applyFont="1" applyBorder="1" applyAlignment="1">
      <alignment horizontal="left" vertical="center" wrapText="1"/>
    </xf>
    <xf numFmtId="165" fontId="0" fillId="0" borderId="1" xfId="1" quotePrefix="1" applyNumberFormat="1" applyFont="1" applyBorder="1" applyAlignment="1">
      <alignment horizontal="left" vertical="center" wrapText="1"/>
    </xf>
    <xf numFmtId="0" fontId="4" fillId="0" borderId="1" xfId="0" applyFont="1" applyBorder="1" applyAlignment="1">
      <alignment horizontal="left" vertical="center" wrapText="1"/>
    </xf>
    <xf numFmtId="165" fontId="8" fillId="0" borderId="1" xfId="0" applyNumberFormat="1" applyFont="1" applyBorder="1" applyAlignment="1">
      <alignment horizontal="center" vertical="center"/>
    </xf>
    <xf numFmtId="0" fontId="8" fillId="0" borderId="0" xfId="0" applyFont="1" applyAlignment="1">
      <alignment horizontal="center" vertical="center"/>
    </xf>
    <xf numFmtId="0" fontId="8" fillId="0" borderId="1" xfId="0" quotePrefix="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quotePrefix="1" applyFont="1" applyBorder="1" applyAlignment="1">
      <alignment horizontal="center" vertical="center" wrapText="1"/>
    </xf>
    <xf numFmtId="0" fontId="8" fillId="0" borderId="1" xfId="0" applyFont="1" applyBorder="1" applyAlignment="1">
      <alignment horizontal="center" vertical="center"/>
    </xf>
    <xf numFmtId="3" fontId="8" fillId="0" borderId="1" xfId="0" quotePrefix="1" applyNumberFormat="1" applyFont="1" applyBorder="1" applyAlignment="1">
      <alignment horizontal="center" vertical="center"/>
    </xf>
    <xf numFmtId="165" fontId="8" fillId="0" borderId="1" xfId="0" applyNumberFormat="1" applyFont="1" applyBorder="1" applyAlignment="1">
      <alignment horizontal="center" vertical="center" wrapText="1"/>
    </xf>
    <xf numFmtId="14" fontId="8" fillId="0" borderId="1" xfId="0" quotePrefix="1"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166" fontId="8" fillId="0" borderId="1" xfId="1" quotePrefix="1" applyNumberFormat="1" applyFont="1" applyBorder="1" applyAlignment="1">
      <alignment horizontal="center" vertical="center" wrapText="1"/>
    </xf>
    <xf numFmtId="43" fontId="8" fillId="0" borderId="1" xfId="1" quotePrefix="1" applyFont="1" applyBorder="1" applyAlignment="1">
      <alignment horizontal="center" vertical="center" wrapText="1"/>
    </xf>
    <xf numFmtId="165" fontId="8" fillId="0" borderId="1" xfId="1" quotePrefix="1" applyNumberFormat="1" applyFont="1" applyBorder="1" applyAlignment="1">
      <alignment horizontal="center" vertical="center" wrapText="1"/>
    </xf>
    <xf numFmtId="0" fontId="0" fillId="2" borderId="1" xfId="0" applyFont="1" applyFill="1" applyBorder="1" applyAlignment="1">
      <alignment horizontal="center" vertical="center" wrapText="1"/>
    </xf>
    <xf numFmtId="4" fontId="0" fillId="0" borderId="1" xfId="0" applyNumberFormat="1" applyBorder="1" applyAlignment="1">
      <alignment horizontal="left" vertical="center"/>
    </xf>
    <xf numFmtId="4" fontId="0" fillId="0" borderId="1" xfId="0" applyNumberFormat="1" applyBorder="1" applyAlignment="1">
      <alignment horizontal="left" vertical="center" wrapText="1"/>
    </xf>
    <xf numFmtId="0" fontId="4" fillId="0" borderId="3" xfId="0" applyFont="1" applyBorder="1" applyAlignment="1">
      <alignment horizontal="left" vertical="center"/>
    </xf>
    <xf numFmtId="0" fontId="0" fillId="0" borderId="3" xfId="0" quotePrefix="1" applyBorder="1" applyAlignment="1">
      <alignment horizontal="left" vertical="center" wrapText="1"/>
    </xf>
    <xf numFmtId="165" fontId="4" fillId="0" borderId="3" xfId="0" applyNumberFormat="1" applyFont="1" applyBorder="1" applyAlignment="1">
      <alignment horizontal="left" vertical="center" wrapText="1"/>
    </xf>
    <xf numFmtId="43" fontId="0" fillId="0" borderId="3" xfId="1" quotePrefix="1" applyFont="1" applyBorder="1" applyAlignment="1">
      <alignment horizontal="left" vertical="center" wrapText="1"/>
    </xf>
    <xf numFmtId="14" fontId="3" fillId="0" borderId="2" xfId="0" applyNumberFormat="1" applyFont="1" applyBorder="1" applyAlignment="1">
      <alignment horizontal="center" vertical="center"/>
    </xf>
    <xf numFmtId="4" fontId="0" fillId="0" borderId="3" xfId="0" applyNumberFormat="1" applyBorder="1" applyAlignment="1">
      <alignment horizontal="left" vertical="center"/>
    </xf>
    <xf numFmtId="0" fontId="9" fillId="0" borderId="1" xfId="0" applyFont="1" applyBorder="1" applyAlignment="1">
      <alignment horizontal="center" vertical="center"/>
    </xf>
    <xf numFmtId="165" fontId="0" fillId="0" borderId="3" xfId="0" applyNumberFormat="1" applyBorder="1" applyAlignment="1">
      <alignment horizontal="left" vertical="center" wrapText="1"/>
    </xf>
    <xf numFmtId="0" fontId="2" fillId="0" borderId="2" xfId="0" quotePrefix="1" applyFont="1" applyBorder="1" applyAlignment="1">
      <alignment horizontal="center" vertical="center"/>
    </xf>
    <xf numFmtId="0" fontId="0" fillId="0" borderId="1" xfId="0" applyNumberFormat="1" applyFont="1" applyBorder="1" applyAlignment="1">
      <alignment horizontal="center" vertical="center"/>
    </xf>
    <xf numFmtId="14" fontId="0" fillId="0" borderId="1" xfId="0" applyNumberFormat="1" applyFont="1" applyBorder="1" applyAlignment="1">
      <alignment horizontal="center" vertical="center"/>
    </xf>
    <xf numFmtId="14" fontId="3" fillId="0" borderId="1" xfId="1" quotePrefix="1" applyNumberFormat="1" applyBorder="1" applyAlignment="1">
      <alignment horizontal="left" vertical="center" wrapText="1"/>
    </xf>
    <xf numFmtId="14" fontId="0" fillId="0" borderId="1" xfId="0" applyNumberFormat="1" applyBorder="1" applyAlignment="1">
      <alignment horizontal="left" vertical="center"/>
    </xf>
    <xf numFmtId="0" fontId="0" fillId="0" borderId="1" xfId="0" quotePrefix="1"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quotePrefix="1" applyFont="1" applyBorder="1" applyAlignment="1">
      <alignment horizontal="center" vertical="center"/>
    </xf>
    <xf numFmtId="4" fontId="3" fillId="0" borderId="1" xfId="0" quotePrefix="1" applyNumberFormat="1" applyFont="1" applyBorder="1" applyAlignment="1">
      <alignment horizontal="left" vertical="center"/>
    </xf>
    <xf numFmtId="0" fontId="4" fillId="0" borderId="1" xfId="0" applyFont="1" applyBorder="1" applyAlignment="1">
      <alignment horizontal="left" vertical="center"/>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center" wrapText="1"/>
    </xf>
    <xf numFmtId="0" fontId="3" fillId="0" borderId="1" xfId="0" applyFont="1" applyBorder="1" applyAlignment="1">
      <alignment horizontal="center" vertical="center"/>
    </xf>
    <xf numFmtId="3" fontId="3" fillId="0" borderId="1" xfId="0" applyNumberFormat="1" applyFont="1" applyBorder="1" applyAlignment="1">
      <alignment horizontal="left" vertical="center" wrapText="1"/>
    </xf>
    <xf numFmtId="14" fontId="0" fillId="0" borderId="1" xfId="0" applyNumberFormat="1" applyFont="1" applyBorder="1" applyAlignment="1">
      <alignment horizontal="center" vertical="center" wrapText="1"/>
    </xf>
    <xf numFmtId="165" fontId="0" fillId="0" borderId="1" xfId="0" quotePrefix="1" applyNumberFormat="1" applyFont="1" applyBorder="1" applyAlignment="1">
      <alignment horizontal="left" vertical="center" wrapText="1"/>
    </xf>
    <xf numFmtId="14" fontId="0" fillId="0" borderId="1" xfId="8" quotePrefix="1" applyNumberFormat="1" applyFont="1" applyBorder="1" applyAlignment="1">
      <alignment horizontal="left" vertical="center" wrapText="1"/>
    </xf>
    <xf numFmtId="14" fontId="4" fillId="0" borderId="1" xfId="0" quotePrefix="1" applyNumberFormat="1" applyFont="1" applyBorder="1" applyAlignment="1">
      <alignment horizontal="left" vertical="center" wrapText="1"/>
    </xf>
    <xf numFmtId="14" fontId="0" fillId="0" borderId="1" xfId="0" quotePrefix="1" applyNumberFormat="1" applyBorder="1" applyAlignment="1">
      <alignment horizontal="left" vertical="center"/>
    </xf>
    <xf numFmtId="14" fontId="4" fillId="0" borderId="1" xfId="0" applyNumberFormat="1" applyFont="1" applyBorder="1" applyAlignment="1">
      <alignment horizontal="left" vertical="center"/>
    </xf>
    <xf numFmtId="14" fontId="8" fillId="0" borderId="1" xfId="1" quotePrefix="1" applyNumberFormat="1" applyFont="1" applyBorder="1" applyAlignment="1">
      <alignment horizontal="center" vertical="center" wrapText="1"/>
    </xf>
    <xf numFmtId="14" fontId="0" fillId="0" borderId="1" xfId="1" quotePrefix="1" applyNumberFormat="1" applyFont="1" applyBorder="1" applyAlignment="1">
      <alignment horizontal="left" vertical="center" wrapText="1"/>
    </xf>
    <xf numFmtId="14" fontId="3" fillId="0" borderId="1" xfId="0" applyNumberFormat="1" applyFont="1" applyBorder="1" applyAlignment="1">
      <alignment horizontal="left" vertical="center"/>
    </xf>
    <xf numFmtId="14" fontId="0" fillId="0" borderId="1" xfId="5" quotePrefix="1" applyNumberFormat="1" applyFont="1" applyBorder="1" applyAlignment="1">
      <alignment horizontal="left" vertical="center" wrapText="1"/>
    </xf>
    <xf numFmtId="14" fontId="0" fillId="0" borderId="1" xfId="1" quotePrefix="1" applyNumberFormat="1" applyFont="1" applyBorder="1" applyAlignment="1">
      <alignment vertical="center" wrapText="1"/>
    </xf>
    <xf numFmtId="14" fontId="3" fillId="0" borderId="1" xfId="1" quotePrefix="1" applyNumberFormat="1" applyBorder="1" applyAlignment="1">
      <alignment horizontal="center" vertical="center" wrapText="1"/>
    </xf>
    <xf numFmtId="165" fontId="4" fillId="0" borderId="1" xfId="0" applyNumberFormat="1" applyFont="1" applyBorder="1" applyAlignment="1">
      <alignment horizontal="left" vertical="center" wrapText="1"/>
    </xf>
    <xf numFmtId="43" fontId="0" fillId="0" borderId="1" xfId="1" quotePrefix="1" applyFont="1" applyBorder="1" applyAlignment="1">
      <alignment horizontal="left" vertical="center"/>
    </xf>
    <xf numFmtId="14" fontId="11" fillId="0" borderId="1" xfId="0" applyNumberFormat="1" applyFont="1" applyBorder="1" applyAlignment="1">
      <alignment horizontal="center" vertical="center" wrapText="1"/>
    </xf>
    <xf numFmtId="0" fontId="3" fillId="0" borderId="0" xfId="0" applyFont="1"/>
    <xf numFmtId="164" fontId="0" fillId="0" borderId="1" xfId="0" applyNumberFormat="1" applyBorder="1" applyAlignment="1">
      <alignment horizontal="left" vertical="center" wrapText="1"/>
    </xf>
    <xf numFmtId="43" fontId="0" fillId="0" borderId="0" xfId="1" applyFont="1" applyFill="1" applyAlignment="1">
      <alignment horizontal="center" vertical="center"/>
    </xf>
    <xf numFmtId="0" fontId="0" fillId="0" borderId="0" xfId="0" applyFill="1"/>
    <xf numFmtId="14" fontId="3" fillId="0" borderId="1" xfId="0" applyNumberFormat="1" applyFont="1" applyBorder="1" applyAlignment="1">
      <alignment horizontal="left" vertical="center" wrapText="1"/>
    </xf>
    <xf numFmtId="165" fontId="1" fillId="0" borderId="1" xfId="0" applyNumberFormat="1" applyFont="1" applyBorder="1" applyAlignment="1">
      <alignment horizontal="center" vertical="center"/>
    </xf>
    <xf numFmtId="0" fontId="2" fillId="2" borderId="5" xfId="0" applyFont="1" applyFill="1" applyBorder="1" applyAlignment="1">
      <alignment horizontal="center" vertical="center" wrapText="1"/>
    </xf>
    <xf numFmtId="0" fontId="2" fillId="0" borderId="5" xfId="0" quotePrefix="1" applyFont="1" applyBorder="1" applyAlignment="1">
      <alignment horizontal="center" vertical="center" wrapText="1"/>
    </xf>
    <xf numFmtId="0" fontId="0" fillId="0" borderId="5" xfId="0" applyBorder="1" applyAlignment="1">
      <alignment horizontal="left" vertical="center" wrapText="1"/>
    </xf>
    <xf numFmtId="14" fontId="0" fillId="0" borderId="6" xfId="0" applyNumberFormat="1" applyBorder="1" applyAlignment="1">
      <alignment horizontal="center" vertical="center" wrapText="1"/>
    </xf>
    <xf numFmtId="14" fontId="0" fillId="0" borderId="5" xfId="0" applyNumberFormat="1" applyBorder="1" applyAlignment="1">
      <alignment horizontal="left" vertical="center" wrapText="1"/>
    </xf>
    <xf numFmtId="165" fontId="0" fillId="0" borderId="6" xfId="0" applyNumberFormat="1" applyBorder="1" applyAlignment="1">
      <alignment horizontal="left" vertical="center" wrapText="1"/>
    </xf>
    <xf numFmtId="43" fontId="0" fillId="0" borderId="0" xfId="1" applyFont="1" applyFill="1" applyBorder="1" applyAlignment="1">
      <alignment horizontal="center" vertical="center"/>
    </xf>
    <xf numFmtId="0" fontId="0" fillId="0" borderId="0" xfId="0" applyFill="1" applyBorder="1"/>
    <xf numFmtId="14" fontId="3" fillId="0" borderId="1" xfId="0" quotePrefix="1" applyNumberFormat="1" applyFont="1" applyBorder="1" applyAlignment="1">
      <alignment horizontal="center" vertical="center" wrapText="1"/>
    </xf>
    <xf numFmtId="14" fontId="0" fillId="0" borderId="1" xfId="0" applyNumberFormat="1" applyBorder="1" applyAlignment="1">
      <alignment horizontal="center" wrapText="1"/>
    </xf>
    <xf numFmtId="165" fontId="4" fillId="0" borderId="1" xfId="0" applyNumberFormat="1" applyFont="1" applyBorder="1" applyAlignment="1">
      <alignment horizontal="right" vertical="center" wrapText="1"/>
    </xf>
    <xf numFmtId="4" fontId="0" fillId="0" borderId="3" xfId="0" applyNumberFormat="1" applyBorder="1" applyAlignment="1">
      <alignment horizontal="left" vertical="center" wrapText="1"/>
    </xf>
    <xf numFmtId="14" fontId="3" fillId="0" borderId="1" xfId="0" applyNumberFormat="1" applyFont="1" applyFill="1" applyBorder="1" applyAlignment="1">
      <alignment horizontal="center" vertical="center" wrapText="1"/>
    </xf>
    <xf numFmtId="3" fontId="0" fillId="0" borderId="1" xfId="0" applyNumberFormat="1" applyBorder="1" applyAlignment="1">
      <alignment horizontal="left" vertical="center" wrapText="1"/>
    </xf>
    <xf numFmtId="165" fontId="13" fillId="0" borderId="1" xfId="0" applyNumberFormat="1" applyFont="1" applyBorder="1" applyAlignment="1">
      <alignment horizontal="left" vertical="center" wrapText="1"/>
    </xf>
    <xf numFmtId="14" fontId="0" fillId="0" borderId="3" xfId="0" applyNumberFormat="1" applyBorder="1" applyAlignment="1">
      <alignment horizontal="left" vertical="center" wrapText="1"/>
    </xf>
    <xf numFmtId="14" fontId="0" fillId="0" borderId="7" xfId="0" applyNumberFormat="1" applyBorder="1" applyAlignment="1">
      <alignment horizontal="center" vertical="center"/>
    </xf>
    <xf numFmtId="0" fontId="0" fillId="0" borderId="8" xfId="0" applyBorder="1" applyAlignment="1">
      <alignment horizontal="left" vertical="center" wrapText="1"/>
    </xf>
    <xf numFmtId="14" fontId="0" fillId="0" borderId="1" xfId="0" quotePrefix="1" applyNumberFormat="1" applyFont="1" applyBorder="1" applyAlignment="1">
      <alignment horizontal="left" vertical="center" wrapText="1"/>
    </xf>
    <xf numFmtId="0" fontId="0" fillId="0" borderId="1" xfId="0" quotePrefix="1" applyFont="1" applyBorder="1" applyAlignment="1">
      <alignment horizontal="left" vertical="center" wrapText="1"/>
    </xf>
    <xf numFmtId="0" fontId="2" fillId="0" borderId="1" xfId="0" quotePrefix="1" applyFont="1" applyFill="1" applyBorder="1" applyAlignment="1">
      <alignment horizontal="center" vertical="center"/>
    </xf>
    <xf numFmtId="0" fontId="0" fillId="0" borderId="1" xfId="0" applyFill="1" applyBorder="1" applyAlignment="1">
      <alignment horizontal="left"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horizontal="left" vertical="center"/>
    </xf>
    <xf numFmtId="14" fontId="0" fillId="0" borderId="1" xfId="0" applyNumberFormat="1" applyFill="1" applyBorder="1" applyAlignment="1">
      <alignment horizontal="left" vertical="center"/>
    </xf>
    <xf numFmtId="43" fontId="8" fillId="0" borderId="1" xfId="1" quotePrefix="1" applyFont="1" applyFill="1" applyBorder="1" applyAlignment="1">
      <alignment horizontal="center" vertical="center" wrapText="1"/>
    </xf>
    <xf numFmtId="4" fontId="0" fillId="0" borderId="1" xfId="0" applyNumberFormat="1" applyFill="1" applyBorder="1" applyAlignment="1">
      <alignment horizontal="right" vertical="center"/>
    </xf>
    <xf numFmtId="0" fontId="3" fillId="0" borderId="1" xfId="0" applyFont="1" applyFill="1" applyBorder="1" applyAlignment="1">
      <alignment horizontal="center" vertical="center" wrapText="1"/>
    </xf>
    <xf numFmtId="14" fontId="0" fillId="0" borderId="1" xfId="0" applyNumberFormat="1" applyBorder="1" applyAlignment="1">
      <alignment horizontal="center" vertical="top" wrapText="1"/>
    </xf>
    <xf numFmtId="0" fontId="16" fillId="0" borderId="1" xfId="0" applyFont="1" applyBorder="1" applyAlignment="1">
      <alignment horizontal="left" vertical="top" wrapText="1"/>
    </xf>
    <xf numFmtId="6" fontId="0" fillId="0" borderId="8" xfId="0" applyNumberFormat="1" applyBorder="1" applyAlignment="1">
      <alignment horizontal="left" vertical="center" wrapText="1"/>
    </xf>
    <xf numFmtId="14" fontId="3" fillId="0" borderId="2" xfId="0" applyNumberFormat="1" applyFont="1" applyBorder="1" applyAlignment="1">
      <alignment horizontal="center" vertical="center" wrapText="1"/>
    </xf>
    <xf numFmtId="14" fontId="0" fillId="0" borderId="9" xfId="0" applyNumberFormat="1" applyBorder="1" applyAlignment="1">
      <alignment horizontal="center" wrapText="1"/>
    </xf>
    <xf numFmtId="0" fontId="0" fillId="0" borderId="2" xfId="0" applyBorder="1" applyAlignment="1">
      <alignment horizontal="center" vertical="center" wrapText="1"/>
    </xf>
    <xf numFmtId="43" fontId="12" fillId="0" borderId="0" xfId="1" applyFont="1" applyFill="1" applyBorder="1" applyAlignment="1">
      <alignment horizontal="center" vertical="center"/>
    </xf>
    <xf numFmtId="4" fontId="0" fillId="0" borderId="0" xfId="0" applyNumberFormat="1"/>
  </cellXfs>
  <cellStyles count="9">
    <cellStyle name="Migliaia" xfId="1" builtinId="3"/>
    <cellStyle name="Migliaia 14" xfId="2" xr:uid="{00000000-0005-0000-0000-000001000000}"/>
    <cellStyle name="Migliaia 2" xfId="4" xr:uid="{00000000-0005-0000-0000-000032000000}"/>
    <cellStyle name="Migliaia 3" xfId="5" xr:uid="{00000000-0005-0000-0000-000033000000}"/>
    <cellStyle name="Migliaia 3 6" xfId="3" xr:uid="{00000000-0005-0000-0000-000002000000}"/>
    <cellStyle name="Migliaia 4" xfId="6" xr:uid="{00000000-0005-0000-0000-000034000000}"/>
    <cellStyle name="Migliaia 5" xfId="7" xr:uid="{00000000-0005-0000-0000-000035000000}"/>
    <cellStyle name="Migliaia 6" xfId="8" xr:uid="{00000000-0005-0000-0000-000036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3</xdr:col>
      <xdr:colOff>3943350</xdr:colOff>
      <xdr:row>9</xdr:row>
      <xdr:rowOff>995362</xdr:rowOff>
    </xdr:from>
    <xdr:ext cx="65" cy="172227"/>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8610600" y="5795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15" name="CasellaDiTesto 14">
          <a:extLst>
            <a:ext uri="{FF2B5EF4-FFF2-40B4-BE49-F238E27FC236}">
              <a16:creationId xmlns:a16="http://schemas.microsoft.com/office/drawing/2014/main" id="{00000000-0008-0000-0000-00000F000000}"/>
            </a:ext>
          </a:extLst>
        </xdr:cNvPr>
        <xdr:cNvSpPr txBox="1"/>
      </xdr:nvSpPr>
      <xdr:spPr>
        <a:xfrm>
          <a:off x="8610600" y="57959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17" name="CasellaDiTesto 16">
          <a:extLst>
            <a:ext uri="{FF2B5EF4-FFF2-40B4-BE49-F238E27FC236}">
              <a16:creationId xmlns:a16="http://schemas.microsoft.com/office/drawing/2014/main" id="{00000000-0008-0000-0000-000011000000}"/>
            </a:ext>
          </a:extLst>
        </xdr:cNvPr>
        <xdr:cNvSpPr txBox="1"/>
      </xdr:nvSpPr>
      <xdr:spPr>
        <a:xfrm>
          <a:off x="8610600" y="68151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19" name="CasellaDiTesto 18">
          <a:extLst>
            <a:ext uri="{FF2B5EF4-FFF2-40B4-BE49-F238E27FC236}">
              <a16:creationId xmlns:a16="http://schemas.microsoft.com/office/drawing/2014/main" id="{00000000-0008-0000-0000-000013000000}"/>
            </a:ext>
          </a:extLst>
        </xdr:cNvPr>
        <xdr:cNvSpPr txBox="1"/>
      </xdr:nvSpPr>
      <xdr:spPr>
        <a:xfrm>
          <a:off x="8610600" y="78343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xdr:from>
      <xdr:col>1</xdr:col>
      <xdr:colOff>26194</xdr:colOff>
      <xdr:row>0</xdr:row>
      <xdr:rowOff>69056</xdr:rowOff>
    </xdr:from>
    <xdr:to>
      <xdr:col>1</xdr:col>
      <xdr:colOff>1248833</xdr:colOff>
      <xdr:row>3</xdr:row>
      <xdr:rowOff>138019</xdr:rowOff>
    </xdr:to>
    <xdr:pic>
      <xdr:nvPicPr>
        <xdr:cNvPr id="30" name="Immagine 29" descr="M4_Logo">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444" y="69056"/>
          <a:ext cx="1222639" cy="640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3943350</xdr:colOff>
      <xdr:row>4</xdr:row>
      <xdr:rowOff>995362</xdr:rowOff>
    </xdr:from>
    <xdr:ext cx="65" cy="172227"/>
    <xdr:sp macro="" textlink="">
      <xdr:nvSpPr>
        <xdr:cNvPr id="7" name="CasellaDiTesto 6">
          <a:extLst>
            <a:ext uri="{FF2B5EF4-FFF2-40B4-BE49-F238E27FC236}">
              <a16:creationId xmlns:a16="http://schemas.microsoft.com/office/drawing/2014/main" id="{ECE5BF0B-2C83-431C-B149-776B6F41F93F}"/>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8" name="CasellaDiTesto 7">
          <a:extLst>
            <a:ext uri="{FF2B5EF4-FFF2-40B4-BE49-F238E27FC236}">
              <a16:creationId xmlns:a16="http://schemas.microsoft.com/office/drawing/2014/main" id="{3B82CDB5-9351-4540-AA83-B2872B0C7D8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9" name="CasellaDiTesto 8">
          <a:extLst>
            <a:ext uri="{FF2B5EF4-FFF2-40B4-BE49-F238E27FC236}">
              <a16:creationId xmlns:a16="http://schemas.microsoft.com/office/drawing/2014/main" id="{F25CB2B6-249C-401C-B9A3-DDF8698D28B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10" name="CasellaDiTesto 9">
          <a:extLst>
            <a:ext uri="{FF2B5EF4-FFF2-40B4-BE49-F238E27FC236}">
              <a16:creationId xmlns:a16="http://schemas.microsoft.com/office/drawing/2014/main" id="{64CF2A4D-E6D0-412F-938A-914879B0E05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11" name="CasellaDiTesto 10">
          <a:extLst>
            <a:ext uri="{FF2B5EF4-FFF2-40B4-BE49-F238E27FC236}">
              <a16:creationId xmlns:a16="http://schemas.microsoft.com/office/drawing/2014/main" id="{825C397B-03D4-420D-B701-3D5B25BE14D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12" name="CasellaDiTesto 11">
          <a:extLst>
            <a:ext uri="{FF2B5EF4-FFF2-40B4-BE49-F238E27FC236}">
              <a16:creationId xmlns:a16="http://schemas.microsoft.com/office/drawing/2014/main" id="{8CA14065-1244-45F9-A5A3-E0A35057E5D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13" name="CasellaDiTesto 12">
          <a:extLst>
            <a:ext uri="{FF2B5EF4-FFF2-40B4-BE49-F238E27FC236}">
              <a16:creationId xmlns:a16="http://schemas.microsoft.com/office/drawing/2014/main" id="{0132AFBA-7CCF-40EA-8001-E9A543F8619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14" name="CasellaDiTesto 13">
          <a:extLst>
            <a:ext uri="{FF2B5EF4-FFF2-40B4-BE49-F238E27FC236}">
              <a16:creationId xmlns:a16="http://schemas.microsoft.com/office/drawing/2014/main" id="{D9679A3B-52E2-4B75-8940-DD921257ADB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16" name="CasellaDiTesto 15">
          <a:extLst>
            <a:ext uri="{FF2B5EF4-FFF2-40B4-BE49-F238E27FC236}">
              <a16:creationId xmlns:a16="http://schemas.microsoft.com/office/drawing/2014/main" id="{9F7ACFDB-0A02-487D-B2EF-168991D35C25}"/>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18" name="CasellaDiTesto 17">
          <a:extLst>
            <a:ext uri="{FF2B5EF4-FFF2-40B4-BE49-F238E27FC236}">
              <a16:creationId xmlns:a16="http://schemas.microsoft.com/office/drawing/2014/main" id="{B9A19DB8-8C2B-4185-9EC9-A1BAB0CF08C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20" name="CasellaDiTesto 19">
          <a:extLst>
            <a:ext uri="{FF2B5EF4-FFF2-40B4-BE49-F238E27FC236}">
              <a16:creationId xmlns:a16="http://schemas.microsoft.com/office/drawing/2014/main" id="{CF789313-EE12-40BE-BACD-7F6E43A86AF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21" name="CasellaDiTesto 20">
          <a:extLst>
            <a:ext uri="{FF2B5EF4-FFF2-40B4-BE49-F238E27FC236}">
              <a16:creationId xmlns:a16="http://schemas.microsoft.com/office/drawing/2014/main" id="{15CE2B12-ADBE-4A02-82E5-284ED7EF1B2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22" name="CasellaDiTesto 21">
          <a:extLst>
            <a:ext uri="{FF2B5EF4-FFF2-40B4-BE49-F238E27FC236}">
              <a16:creationId xmlns:a16="http://schemas.microsoft.com/office/drawing/2014/main" id="{406DF8E2-E7D4-43CF-9243-F4FE5C926757}"/>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23" name="CasellaDiTesto 22">
          <a:extLst>
            <a:ext uri="{FF2B5EF4-FFF2-40B4-BE49-F238E27FC236}">
              <a16:creationId xmlns:a16="http://schemas.microsoft.com/office/drawing/2014/main" id="{7D3FCD6A-6377-48E3-8636-03AD68840E8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24" name="CasellaDiTesto 23">
          <a:extLst>
            <a:ext uri="{FF2B5EF4-FFF2-40B4-BE49-F238E27FC236}">
              <a16:creationId xmlns:a16="http://schemas.microsoft.com/office/drawing/2014/main" id="{265CB093-EA97-4636-91D8-4AD9F9653E38}"/>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25" name="CasellaDiTesto 24">
          <a:extLst>
            <a:ext uri="{FF2B5EF4-FFF2-40B4-BE49-F238E27FC236}">
              <a16:creationId xmlns:a16="http://schemas.microsoft.com/office/drawing/2014/main" id="{3A0DD52A-DD1E-40AF-B1EE-0B649C183AB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26" name="CasellaDiTesto 25">
          <a:extLst>
            <a:ext uri="{FF2B5EF4-FFF2-40B4-BE49-F238E27FC236}">
              <a16:creationId xmlns:a16="http://schemas.microsoft.com/office/drawing/2014/main" id="{A680745E-25B1-4721-A9EE-CE52E287CED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27" name="CasellaDiTesto 26">
          <a:extLst>
            <a:ext uri="{FF2B5EF4-FFF2-40B4-BE49-F238E27FC236}">
              <a16:creationId xmlns:a16="http://schemas.microsoft.com/office/drawing/2014/main" id="{E8DDFCCE-B8EA-420B-A352-825B37B3E94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28" name="CasellaDiTesto 27">
          <a:extLst>
            <a:ext uri="{FF2B5EF4-FFF2-40B4-BE49-F238E27FC236}">
              <a16:creationId xmlns:a16="http://schemas.microsoft.com/office/drawing/2014/main" id="{78431326-F3E3-409C-9C78-85E7C7730FD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29" name="CasellaDiTesto 28">
          <a:extLst>
            <a:ext uri="{FF2B5EF4-FFF2-40B4-BE49-F238E27FC236}">
              <a16:creationId xmlns:a16="http://schemas.microsoft.com/office/drawing/2014/main" id="{226F1436-FA17-4F8F-B3F3-6CD22A54304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31" name="CasellaDiTesto 30">
          <a:extLst>
            <a:ext uri="{FF2B5EF4-FFF2-40B4-BE49-F238E27FC236}">
              <a16:creationId xmlns:a16="http://schemas.microsoft.com/office/drawing/2014/main" id="{3B9BCB67-33F8-4F95-8CA9-331950E22785}"/>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32" name="CasellaDiTesto 31">
          <a:extLst>
            <a:ext uri="{FF2B5EF4-FFF2-40B4-BE49-F238E27FC236}">
              <a16:creationId xmlns:a16="http://schemas.microsoft.com/office/drawing/2014/main" id="{1B776DDE-06B4-4BE3-AFC9-4B1548D3392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33" name="CasellaDiTesto 32">
          <a:extLst>
            <a:ext uri="{FF2B5EF4-FFF2-40B4-BE49-F238E27FC236}">
              <a16:creationId xmlns:a16="http://schemas.microsoft.com/office/drawing/2014/main" id="{1BBCEAAD-534A-4048-B0E6-6E0A713DFC8C}"/>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34" name="CasellaDiTesto 33">
          <a:extLst>
            <a:ext uri="{FF2B5EF4-FFF2-40B4-BE49-F238E27FC236}">
              <a16:creationId xmlns:a16="http://schemas.microsoft.com/office/drawing/2014/main" id="{46BE80EC-7DCC-4AD7-9C78-922999C20733}"/>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35" name="CasellaDiTesto 34">
          <a:extLst>
            <a:ext uri="{FF2B5EF4-FFF2-40B4-BE49-F238E27FC236}">
              <a16:creationId xmlns:a16="http://schemas.microsoft.com/office/drawing/2014/main" id="{3A184F28-3FC8-447C-BBA4-5EBFC8062D2F}"/>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36" name="CasellaDiTesto 35">
          <a:extLst>
            <a:ext uri="{FF2B5EF4-FFF2-40B4-BE49-F238E27FC236}">
              <a16:creationId xmlns:a16="http://schemas.microsoft.com/office/drawing/2014/main" id="{3CEFB02C-291F-4F6B-9C24-B3BBBEA2B47C}"/>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37" name="CasellaDiTesto 36">
          <a:extLst>
            <a:ext uri="{FF2B5EF4-FFF2-40B4-BE49-F238E27FC236}">
              <a16:creationId xmlns:a16="http://schemas.microsoft.com/office/drawing/2014/main" id="{3C5B1F9F-F4E7-4927-A240-7AF6318CFAF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38" name="CasellaDiTesto 37">
          <a:extLst>
            <a:ext uri="{FF2B5EF4-FFF2-40B4-BE49-F238E27FC236}">
              <a16:creationId xmlns:a16="http://schemas.microsoft.com/office/drawing/2014/main" id="{C296B6DC-20B1-43E9-A8A9-2F087AE6437E}"/>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39" name="CasellaDiTesto 38">
          <a:extLst>
            <a:ext uri="{FF2B5EF4-FFF2-40B4-BE49-F238E27FC236}">
              <a16:creationId xmlns:a16="http://schemas.microsoft.com/office/drawing/2014/main" id="{F68DE176-1A3D-4B8C-97AC-1931102C63A4}"/>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40" name="CasellaDiTesto 39">
          <a:extLst>
            <a:ext uri="{FF2B5EF4-FFF2-40B4-BE49-F238E27FC236}">
              <a16:creationId xmlns:a16="http://schemas.microsoft.com/office/drawing/2014/main" id="{D292398D-4073-436E-85D6-87238DF573B6}"/>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41" name="CasellaDiTesto 40">
          <a:extLst>
            <a:ext uri="{FF2B5EF4-FFF2-40B4-BE49-F238E27FC236}">
              <a16:creationId xmlns:a16="http://schemas.microsoft.com/office/drawing/2014/main" id="{869B53D1-843D-4B06-B4E2-887F3EEBD184}"/>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42" name="CasellaDiTesto 41">
          <a:extLst>
            <a:ext uri="{FF2B5EF4-FFF2-40B4-BE49-F238E27FC236}">
              <a16:creationId xmlns:a16="http://schemas.microsoft.com/office/drawing/2014/main" id="{6F389321-40B1-4167-B065-895D5D5B9F08}"/>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43" name="CasellaDiTesto 42">
          <a:extLst>
            <a:ext uri="{FF2B5EF4-FFF2-40B4-BE49-F238E27FC236}">
              <a16:creationId xmlns:a16="http://schemas.microsoft.com/office/drawing/2014/main" id="{15DE0360-0759-47BA-A787-BB01AC9C63C4}"/>
            </a:ext>
          </a:extLst>
        </xdr:cNvPr>
        <xdr:cNvSpPr txBox="1"/>
      </xdr:nvSpPr>
      <xdr:spPr>
        <a:xfrm>
          <a:off x="7191375" y="98921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91</xdr:row>
      <xdr:rowOff>995362</xdr:rowOff>
    </xdr:from>
    <xdr:ext cx="65" cy="172227"/>
    <xdr:sp macro="" textlink="">
      <xdr:nvSpPr>
        <xdr:cNvPr id="44" name="CasellaDiTesto 43">
          <a:extLst>
            <a:ext uri="{FF2B5EF4-FFF2-40B4-BE49-F238E27FC236}">
              <a16:creationId xmlns:a16="http://schemas.microsoft.com/office/drawing/2014/main" id="{D3AEC82A-6BD5-45B9-B157-102B6C601897}"/>
            </a:ext>
          </a:extLst>
        </xdr:cNvPr>
        <xdr:cNvSpPr txBox="1"/>
      </xdr:nvSpPr>
      <xdr:spPr>
        <a:xfrm>
          <a:off x="7191375" y="98921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45" name="CasellaDiTesto 44">
          <a:extLst>
            <a:ext uri="{FF2B5EF4-FFF2-40B4-BE49-F238E27FC236}">
              <a16:creationId xmlns:a16="http://schemas.microsoft.com/office/drawing/2014/main" id="{6FCDA14E-1AAF-41A7-9D5B-27C9EEA28BF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46" name="CasellaDiTesto 45">
          <a:extLst>
            <a:ext uri="{FF2B5EF4-FFF2-40B4-BE49-F238E27FC236}">
              <a16:creationId xmlns:a16="http://schemas.microsoft.com/office/drawing/2014/main" id="{3956F62D-D3C3-45E7-996C-393A0BDDEF8B}"/>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47" name="CasellaDiTesto 46">
          <a:extLst>
            <a:ext uri="{FF2B5EF4-FFF2-40B4-BE49-F238E27FC236}">
              <a16:creationId xmlns:a16="http://schemas.microsoft.com/office/drawing/2014/main" id="{46A61195-987B-416E-82FC-E965AA62AC19}"/>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48" name="CasellaDiTesto 47">
          <a:extLst>
            <a:ext uri="{FF2B5EF4-FFF2-40B4-BE49-F238E27FC236}">
              <a16:creationId xmlns:a16="http://schemas.microsoft.com/office/drawing/2014/main" id="{A38129B1-0838-45DF-A436-C38D587D3EC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xdr:row>
      <xdr:rowOff>995362</xdr:rowOff>
    </xdr:from>
    <xdr:ext cx="65" cy="172227"/>
    <xdr:sp macro="" textlink="">
      <xdr:nvSpPr>
        <xdr:cNvPr id="49" name="CasellaDiTesto 48">
          <a:extLst>
            <a:ext uri="{FF2B5EF4-FFF2-40B4-BE49-F238E27FC236}">
              <a16:creationId xmlns:a16="http://schemas.microsoft.com/office/drawing/2014/main" id="{6FDFDFC1-BCFB-4985-8B2D-E67B3CF35CDA}"/>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15</xdr:row>
      <xdr:rowOff>995362</xdr:rowOff>
    </xdr:from>
    <xdr:ext cx="65" cy="172227"/>
    <xdr:sp macro="" textlink="">
      <xdr:nvSpPr>
        <xdr:cNvPr id="50" name="CasellaDiTesto 49">
          <a:extLst>
            <a:ext uri="{FF2B5EF4-FFF2-40B4-BE49-F238E27FC236}">
              <a16:creationId xmlns:a16="http://schemas.microsoft.com/office/drawing/2014/main" id="{12C3F47E-3A5B-408F-BFC6-318F49B0269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xdr:row>
      <xdr:rowOff>995362</xdr:rowOff>
    </xdr:from>
    <xdr:ext cx="65" cy="172227"/>
    <xdr:sp macro="" textlink="">
      <xdr:nvSpPr>
        <xdr:cNvPr id="51" name="CasellaDiTesto 50">
          <a:extLst>
            <a:ext uri="{FF2B5EF4-FFF2-40B4-BE49-F238E27FC236}">
              <a16:creationId xmlns:a16="http://schemas.microsoft.com/office/drawing/2014/main" id="{0CAEE50A-2894-4621-A40C-21DF47C8BAC0}"/>
            </a:ext>
          </a:extLst>
        </xdr:cNvPr>
        <xdr:cNvSpPr txBox="1"/>
      </xdr:nvSpPr>
      <xdr:spPr>
        <a:xfrm>
          <a:off x="7191375" y="2776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52" name="CasellaDiTesto 51">
          <a:extLst>
            <a:ext uri="{FF2B5EF4-FFF2-40B4-BE49-F238E27FC236}">
              <a16:creationId xmlns:a16="http://schemas.microsoft.com/office/drawing/2014/main" id="{A90D2B8F-8C66-4455-89FF-8106F2DD8032}"/>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53" name="CasellaDiTesto 52">
          <a:extLst>
            <a:ext uri="{FF2B5EF4-FFF2-40B4-BE49-F238E27FC236}">
              <a16:creationId xmlns:a16="http://schemas.microsoft.com/office/drawing/2014/main" id="{CD4CCDC6-6E6A-44B2-AD75-4F53DD4EAE6D}"/>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54" name="CasellaDiTesto 53">
          <a:extLst>
            <a:ext uri="{FF2B5EF4-FFF2-40B4-BE49-F238E27FC236}">
              <a16:creationId xmlns:a16="http://schemas.microsoft.com/office/drawing/2014/main" id="{6CB0C74A-C77B-4A0C-AFDC-B385DE209421}"/>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xdr:row>
      <xdr:rowOff>995362</xdr:rowOff>
    </xdr:from>
    <xdr:ext cx="65" cy="172227"/>
    <xdr:sp macro="" textlink="">
      <xdr:nvSpPr>
        <xdr:cNvPr id="55" name="CasellaDiTesto 54">
          <a:extLst>
            <a:ext uri="{FF2B5EF4-FFF2-40B4-BE49-F238E27FC236}">
              <a16:creationId xmlns:a16="http://schemas.microsoft.com/office/drawing/2014/main" id="{AF4775D0-40E3-4CB3-B4E0-304C031209C0}"/>
            </a:ext>
          </a:extLst>
        </xdr:cNvPr>
        <xdr:cNvSpPr txBox="1"/>
      </xdr:nvSpPr>
      <xdr:spPr>
        <a:xfrm>
          <a:off x="719137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56" name="CasellaDiTesto 55">
          <a:extLst>
            <a:ext uri="{FF2B5EF4-FFF2-40B4-BE49-F238E27FC236}">
              <a16:creationId xmlns:a16="http://schemas.microsoft.com/office/drawing/2014/main" id="{B347FED5-65FB-4BEA-915C-D982F7DCF970}"/>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57" name="CasellaDiTesto 56">
          <a:extLst>
            <a:ext uri="{FF2B5EF4-FFF2-40B4-BE49-F238E27FC236}">
              <a16:creationId xmlns:a16="http://schemas.microsoft.com/office/drawing/2014/main" id="{541A5859-A182-4A81-BD17-899F7464319C}"/>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6</xdr:row>
      <xdr:rowOff>995362</xdr:rowOff>
    </xdr:from>
    <xdr:ext cx="65" cy="172227"/>
    <xdr:sp macro="" textlink="">
      <xdr:nvSpPr>
        <xdr:cNvPr id="58" name="CasellaDiTesto 57">
          <a:extLst>
            <a:ext uri="{FF2B5EF4-FFF2-40B4-BE49-F238E27FC236}">
              <a16:creationId xmlns:a16="http://schemas.microsoft.com/office/drawing/2014/main" id="{376A6FB0-5E52-4DE1-B113-703AF92803EF}"/>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59" name="CasellaDiTesto 58">
          <a:extLst>
            <a:ext uri="{FF2B5EF4-FFF2-40B4-BE49-F238E27FC236}">
              <a16:creationId xmlns:a16="http://schemas.microsoft.com/office/drawing/2014/main" id="{306431F4-638B-4972-B094-C3477112D998}"/>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25</xdr:row>
      <xdr:rowOff>995362</xdr:rowOff>
    </xdr:from>
    <xdr:ext cx="65" cy="172227"/>
    <xdr:sp macro="" textlink="">
      <xdr:nvSpPr>
        <xdr:cNvPr id="60" name="CasellaDiTesto 59">
          <a:extLst>
            <a:ext uri="{FF2B5EF4-FFF2-40B4-BE49-F238E27FC236}">
              <a16:creationId xmlns:a16="http://schemas.microsoft.com/office/drawing/2014/main" id="{59658D79-BC53-4DF5-BD3D-6914D4EA635E}"/>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26</xdr:row>
      <xdr:rowOff>995362</xdr:rowOff>
    </xdr:from>
    <xdr:ext cx="65" cy="172227"/>
    <xdr:sp macro="" textlink="">
      <xdr:nvSpPr>
        <xdr:cNvPr id="61" name="CasellaDiTesto 60">
          <a:extLst>
            <a:ext uri="{FF2B5EF4-FFF2-40B4-BE49-F238E27FC236}">
              <a16:creationId xmlns:a16="http://schemas.microsoft.com/office/drawing/2014/main" id="{57F33C1F-A755-4278-A59A-A19868A8A7BA}"/>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27</xdr:row>
      <xdr:rowOff>995362</xdr:rowOff>
    </xdr:from>
    <xdr:ext cx="65" cy="172227"/>
    <xdr:sp macro="" textlink="">
      <xdr:nvSpPr>
        <xdr:cNvPr id="62" name="CasellaDiTesto 61">
          <a:extLst>
            <a:ext uri="{FF2B5EF4-FFF2-40B4-BE49-F238E27FC236}">
              <a16:creationId xmlns:a16="http://schemas.microsoft.com/office/drawing/2014/main" id="{9D723781-7644-4A91-87C3-8C1244D47FE5}"/>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28</xdr:row>
      <xdr:rowOff>995362</xdr:rowOff>
    </xdr:from>
    <xdr:ext cx="65" cy="172227"/>
    <xdr:sp macro="" textlink="">
      <xdr:nvSpPr>
        <xdr:cNvPr id="63" name="CasellaDiTesto 62">
          <a:extLst>
            <a:ext uri="{FF2B5EF4-FFF2-40B4-BE49-F238E27FC236}">
              <a16:creationId xmlns:a16="http://schemas.microsoft.com/office/drawing/2014/main" id="{B2FB91F7-A320-4895-A401-176D8F14D603}"/>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xdr:row>
      <xdr:rowOff>995362</xdr:rowOff>
    </xdr:from>
    <xdr:ext cx="65" cy="172227"/>
    <xdr:sp macro="" textlink="">
      <xdr:nvSpPr>
        <xdr:cNvPr id="64" name="CasellaDiTesto 63">
          <a:extLst>
            <a:ext uri="{FF2B5EF4-FFF2-40B4-BE49-F238E27FC236}">
              <a16:creationId xmlns:a16="http://schemas.microsoft.com/office/drawing/2014/main" id="{9939D851-2E8E-4BDB-86ED-611E1D5CFB60}"/>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10</xdr:row>
      <xdr:rowOff>995362</xdr:rowOff>
    </xdr:from>
    <xdr:ext cx="65" cy="172227"/>
    <xdr:sp macro="" textlink="">
      <xdr:nvSpPr>
        <xdr:cNvPr id="65" name="CasellaDiTesto 64">
          <a:extLst>
            <a:ext uri="{FF2B5EF4-FFF2-40B4-BE49-F238E27FC236}">
              <a16:creationId xmlns:a16="http://schemas.microsoft.com/office/drawing/2014/main" id="{AFA51DB7-1407-4B1F-B258-694EDDCBD86D}"/>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11</xdr:row>
      <xdr:rowOff>995362</xdr:rowOff>
    </xdr:from>
    <xdr:ext cx="65" cy="172227"/>
    <xdr:sp macro="" textlink="">
      <xdr:nvSpPr>
        <xdr:cNvPr id="66" name="CasellaDiTesto 65">
          <a:extLst>
            <a:ext uri="{FF2B5EF4-FFF2-40B4-BE49-F238E27FC236}">
              <a16:creationId xmlns:a16="http://schemas.microsoft.com/office/drawing/2014/main" id="{E23C6E90-29D4-4870-B289-F7640041817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xdr:row>
      <xdr:rowOff>995362</xdr:rowOff>
    </xdr:from>
    <xdr:ext cx="65" cy="172227"/>
    <xdr:sp macro="" textlink="">
      <xdr:nvSpPr>
        <xdr:cNvPr id="67" name="CasellaDiTesto 66">
          <a:extLst>
            <a:ext uri="{FF2B5EF4-FFF2-40B4-BE49-F238E27FC236}">
              <a16:creationId xmlns:a16="http://schemas.microsoft.com/office/drawing/2014/main" id="{10ABF5F6-BBA0-49AA-AA3B-4D053AEE9EF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4</xdr:row>
      <xdr:rowOff>995362</xdr:rowOff>
    </xdr:from>
    <xdr:ext cx="65" cy="172227"/>
    <xdr:sp macro="" textlink="">
      <xdr:nvSpPr>
        <xdr:cNvPr id="68" name="CasellaDiTesto 67">
          <a:extLst>
            <a:ext uri="{FF2B5EF4-FFF2-40B4-BE49-F238E27FC236}">
              <a16:creationId xmlns:a16="http://schemas.microsoft.com/office/drawing/2014/main" id="{3D1F5504-D0A3-4C53-B985-7FFED2E62F46}"/>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995362</xdr:rowOff>
    </xdr:from>
    <xdr:ext cx="65" cy="172227"/>
    <xdr:sp macro="" textlink="">
      <xdr:nvSpPr>
        <xdr:cNvPr id="69" name="CasellaDiTesto 68">
          <a:extLst>
            <a:ext uri="{FF2B5EF4-FFF2-40B4-BE49-F238E27FC236}">
              <a16:creationId xmlns:a16="http://schemas.microsoft.com/office/drawing/2014/main" id="{9FE217C4-CBF8-46B2-A8F7-651F3EDA7F92}"/>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7</xdr:row>
      <xdr:rowOff>995362</xdr:rowOff>
    </xdr:from>
    <xdr:ext cx="65" cy="172227"/>
    <xdr:sp macro="" textlink="">
      <xdr:nvSpPr>
        <xdr:cNvPr id="70" name="CasellaDiTesto 69">
          <a:extLst>
            <a:ext uri="{FF2B5EF4-FFF2-40B4-BE49-F238E27FC236}">
              <a16:creationId xmlns:a16="http://schemas.microsoft.com/office/drawing/2014/main" id="{7BD1DD59-BF15-43D6-A8E7-595FD599C9B1}"/>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xdr:row>
      <xdr:rowOff>995362</xdr:rowOff>
    </xdr:from>
    <xdr:ext cx="65" cy="172227"/>
    <xdr:sp macro="" textlink="">
      <xdr:nvSpPr>
        <xdr:cNvPr id="71" name="CasellaDiTesto 70">
          <a:extLst>
            <a:ext uri="{FF2B5EF4-FFF2-40B4-BE49-F238E27FC236}">
              <a16:creationId xmlns:a16="http://schemas.microsoft.com/office/drawing/2014/main" id="{AA4378D3-BE66-4875-ADD7-57531B6A9091}"/>
            </a:ext>
          </a:extLst>
        </xdr:cNvPr>
        <xdr:cNvSpPr txBox="1"/>
      </xdr:nvSpPr>
      <xdr:spPr>
        <a:xfrm>
          <a:off x="6448425" y="17811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72" name="CasellaDiTesto 71">
          <a:extLst>
            <a:ext uri="{FF2B5EF4-FFF2-40B4-BE49-F238E27FC236}">
              <a16:creationId xmlns:a16="http://schemas.microsoft.com/office/drawing/2014/main" id="{56F2C07B-C2B1-4005-BBFB-46C3D5490F70}"/>
            </a:ext>
          </a:extLst>
        </xdr:cNvPr>
        <xdr:cNvSpPr txBox="1"/>
      </xdr:nvSpPr>
      <xdr:spPr>
        <a:xfrm>
          <a:off x="5623560" y="24064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3" name="CasellaDiTesto 72">
          <a:extLst>
            <a:ext uri="{FF2B5EF4-FFF2-40B4-BE49-F238E27FC236}">
              <a16:creationId xmlns:a16="http://schemas.microsoft.com/office/drawing/2014/main" id="{03F562D3-EE37-4994-9D0D-278D9AB56F76}"/>
            </a:ext>
          </a:extLst>
        </xdr:cNvPr>
        <xdr:cNvSpPr txBox="1"/>
      </xdr:nvSpPr>
      <xdr:spPr>
        <a:xfrm>
          <a:off x="562356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74" name="CasellaDiTesto 73">
          <a:extLst>
            <a:ext uri="{FF2B5EF4-FFF2-40B4-BE49-F238E27FC236}">
              <a16:creationId xmlns:a16="http://schemas.microsoft.com/office/drawing/2014/main" id="{EA95DA44-A8FB-4A41-A441-C3EB1C8E3E05}"/>
            </a:ext>
          </a:extLst>
        </xdr:cNvPr>
        <xdr:cNvSpPr txBox="1"/>
      </xdr:nvSpPr>
      <xdr:spPr>
        <a:xfrm>
          <a:off x="5623560" y="24064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5" name="CasellaDiTesto 74">
          <a:extLst>
            <a:ext uri="{FF2B5EF4-FFF2-40B4-BE49-F238E27FC236}">
              <a16:creationId xmlns:a16="http://schemas.microsoft.com/office/drawing/2014/main" id="{CC601699-5EA8-48CA-9F70-1A8515E3C766}"/>
            </a:ext>
          </a:extLst>
        </xdr:cNvPr>
        <xdr:cNvSpPr txBox="1"/>
      </xdr:nvSpPr>
      <xdr:spPr>
        <a:xfrm>
          <a:off x="562356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127</xdr:row>
      <xdr:rowOff>995362</xdr:rowOff>
    </xdr:from>
    <xdr:ext cx="65" cy="172227"/>
    <xdr:sp macro="" textlink="">
      <xdr:nvSpPr>
        <xdr:cNvPr id="76" name="CasellaDiTesto 75">
          <a:extLst>
            <a:ext uri="{FF2B5EF4-FFF2-40B4-BE49-F238E27FC236}">
              <a16:creationId xmlns:a16="http://schemas.microsoft.com/office/drawing/2014/main" id="{85CC5AC3-B637-4588-BC1C-280A8FDED95F}"/>
            </a:ext>
          </a:extLst>
        </xdr:cNvPr>
        <xdr:cNvSpPr txBox="1"/>
      </xdr:nvSpPr>
      <xdr:spPr>
        <a:xfrm>
          <a:off x="5623560" y="24064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7" name="CasellaDiTesto 76">
          <a:extLst>
            <a:ext uri="{FF2B5EF4-FFF2-40B4-BE49-F238E27FC236}">
              <a16:creationId xmlns:a16="http://schemas.microsoft.com/office/drawing/2014/main" id="{35A07AA4-D669-4265-B5E8-BE9B1FF13497}"/>
            </a:ext>
          </a:extLst>
        </xdr:cNvPr>
        <xdr:cNvSpPr txBox="1"/>
      </xdr:nvSpPr>
      <xdr:spPr>
        <a:xfrm>
          <a:off x="5623560" y="25074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8" name="CasellaDiTesto 77">
          <a:extLst>
            <a:ext uri="{FF2B5EF4-FFF2-40B4-BE49-F238E27FC236}">
              <a16:creationId xmlns:a16="http://schemas.microsoft.com/office/drawing/2014/main" id="{4D0C89C8-7AC9-44A5-89FE-3BD6F8049FF5}"/>
            </a:ext>
          </a:extLst>
        </xdr:cNvPr>
        <xdr:cNvSpPr txBox="1"/>
      </xdr:nvSpPr>
      <xdr:spPr>
        <a:xfrm>
          <a:off x="6808470" y="137850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79" name="CasellaDiTesto 78">
          <a:extLst>
            <a:ext uri="{FF2B5EF4-FFF2-40B4-BE49-F238E27FC236}">
              <a16:creationId xmlns:a16="http://schemas.microsoft.com/office/drawing/2014/main" id="{C185F673-4363-47FF-9C8A-B3B6D5A87494}"/>
            </a:ext>
          </a:extLst>
        </xdr:cNvPr>
        <xdr:cNvSpPr txBox="1"/>
      </xdr:nvSpPr>
      <xdr:spPr>
        <a:xfrm>
          <a:off x="6808470" y="137850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128</xdr:row>
      <xdr:rowOff>995362</xdr:rowOff>
    </xdr:from>
    <xdr:ext cx="65" cy="172227"/>
    <xdr:sp macro="" textlink="">
      <xdr:nvSpPr>
        <xdr:cNvPr id="80" name="CasellaDiTesto 79">
          <a:extLst>
            <a:ext uri="{FF2B5EF4-FFF2-40B4-BE49-F238E27FC236}">
              <a16:creationId xmlns:a16="http://schemas.microsoft.com/office/drawing/2014/main" id="{59BAF94B-BCF7-49E8-9895-23B103102890}"/>
            </a:ext>
          </a:extLst>
        </xdr:cNvPr>
        <xdr:cNvSpPr txBox="1"/>
      </xdr:nvSpPr>
      <xdr:spPr>
        <a:xfrm>
          <a:off x="6808470" y="1378505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81" name="CasellaDiTesto 80">
          <a:extLst>
            <a:ext uri="{FF2B5EF4-FFF2-40B4-BE49-F238E27FC236}">
              <a16:creationId xmlns:a16="http://schemas.microsoft.com/office/drawing/2014/main" id="{56820411-AFF1-4A82-9901-630E29C6BCFB}"/>
            </a:ext>
          </a:extLst>
        </xdr:cNvPr>
        <xdr:cNvSpPr txBox="1"/>
      </xdr:nvSpPr>
      <xdr:spPr>
        <a:xfrm>
          <a:off x="6808470" y="1385973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82" name="CasellaDiTesto 81">
          <a:extLst>
            <a:ext uri="{FF2B5EF4-FFF2-40B4-BE49-F238E27FC236}">
              <a16:creationId xmlns:a16="http://schemas.microsoft.com/office/drawing/2014/main" id="{A1736C5F-0CEB-4BDC-9F9C-392A7CFE18AA}"/>
            </a:ext>
          </a:extLst>
        </xdr:cNvPr>
        <xdr:cNvSpPr txBox="1"/>
      </xdr:nvSpPr>
      <xdr:spPr>
        <a:xfrm>
          <a:off x="6808470" y="1385973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129</xdr:row>
      <xdr:rowOff>995362</xdr:rowOff>
    </xdr:from>
    <xdr:ext cx="65" cy="172227"/>
    <xdr:sp macro="" textlink="">
      <xdr:nvSpPr>
        <xdr:cNvPr id="83" name="CasellaDiTesto 82">
          <a:extLst>
            <a:ext uri="{FF2B5EF4-FFF2-40B4-BE49-F238E27FC236}">
              <a16:creationId xmlns:a16="http://schemas.microsoft.com/office/drawing/2014/main" id="{3E8DE720-4D4C-4DA5-984E-D78D32ECCD94}"/>
            </a:ext>
          </a:extLst>
        </xdr:cNvPr>
        <xdr:cNvSpPr txBox="1"/>
      </xdr:nvSpPr>
      <xdr:spPr>
        <a:xfrm>
          <a:off x="6808470" y="13859732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4" name="CasellaDiTesto 83">
          <a:extLst>
            <a:ext uri="{FF2B5EF4-FFF2-40B4-BE49-F238E27FC236}">
              <a16:creationId xmlns:a16="http://schemas.microsoft.com/office/drawing/2014/main" id="{9AB01C10-F971-4EB2-83AA-DE0012D7A5CD}"/>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5" name="CasellaDiTesto 84">
          <a:extLst>
            <a:ext uri="{FF2B5EF4-FFF2-40B4-BE49-F238E27FC236}">
              <a16:creationId xmlns:a16="http://schemas.microsoft.com/office/drawing/2014/main" id="{4C439DD7-B88F-4F2E-87D9-6A8AB6F695D8}"/>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6" name="CasellaDiTesto 85">
          <a:extLst>
            <a:ext uri="{FF2B5EF4-FFF2-40B4-BE49-F238E27FC236}">
              <a16:creationId xmlns:a16="http://schemas.microsoft.com/office/drawing/2014/main" id="{5230386D-2A2D-43F0-B6DA-CA2BD060FD05}"/>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7" name="CasellaDiTesto 86">
          <a:extLst>
            <a:ext uri="{FF2B5EF4-FFF2-40B4-BE49-F238E27FC236}">
              <a16:creationId xmlns:a16="http://schemas.microsoft.com/office/drawing/2014/main" id="{B3CC887C-9005-4594-9AD9-8954EA9ACA15}"/>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8" name="CasellaDiTesto 87">
          <a:extLst>
            <a:ext uri="{FF2B5EF4-FFF2-40B4-BE49-F238E27FC236}">
              <a16:creationId xmlns:a16="http://schemas.microsoft.com/office/drawing/2014/main" id="{40F771B1-7E2E-4199-B7F4-B1476992575D}"/>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134</xdr:row>
      <xdr:rowOff>995362</xdr:rowOff>
    </xdr:from>
    <xdr:ext cx="65" cy="172227"/>
    <xdr:sp macro="" textlink="">
      <xdr:nvSpPr>
        <xdr:cNvPr id="89" name="CasellaDiTesto 88">
          <a:extLst>
            <a:ext uri="{FF2B5EF4-FFF2-40B4-BE49-F238E27FC236}">
              <a16:creationId xmlns:a16="http://schemas.microsoft.com/office/drawing/2014/main" id="{E1F44460-1F81-4817-9B3A-629C124B43C4}"/>
            </a:ext>
          </a:extLst>
        </xdr:cNvPr>
        <xdr:cNvSpPr txBox="1"/>
      </xdr:nvSpPr>
      <xdr:spPr>
        <a:xfrm>
          <a:off x="5472113" y="135750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90" name="CasellaDiTesto 89">
          <a:extLst>
            <a:ext uri="{FF2B5EF4-FFF2-40B4-BE49-F238E27FC236}">
              <a16:creationId xmlns:a16="http://schemas.microsoft.com/office/drawing/2014/main" id="{D12E3788-D916-4768-8716-03EF20C82EE6}"/>
            </a:ext>
          </a:extLst>
        </xdr:cNvPr>
        <xdr:cNvSpPr txBox="1"/>
      </xdr:nvSpPr>
      <xdr:spPr>
        <a:xfrm>
          <a:off x="5472113" y="392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91" name="CasellaDiTesto 90">
          <a:extLst>
            <a:ext uri="{FF2B5EF4-FFF2-40B4-BE49-F238E27FC236}">
              <a16:creationId xmlns:a16="http://schemas.microsoft.com/office/drawing/2014/main" id="{E005A290-FC9D-4D71-9927-EF16DB76525E}"/>
            </a:ext>
          </a:extLst>
        </xdr:cNvPr>
        <xdr:cNvSpPr txBox="1"/>
      </xdr:nvSpPr>
      <xdr:spPr>
        <a:xfrm>
          <a:off x="5472113" y="392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137</xdr:row>
      <xdr:rowOff>995362</xdr:rowOff>
    </xdr:from>
    <xdr:ext cx="65" cy="172227"/>
    <xdr:sp macro="" textlink="">
      <xdr:nvSpPr>
        <xdr:cNvPr id="92" name="CasellaDiTesto 91">
          <a:extLst>
            <a:ext uri="{FF2B5EF4-FFF2-40B4-BE49-F238E27FC236}">
              <a16:creationId xmlns:a16="http://schemas.microsoft.com/office/drawing/2014/main" id="{F55A081F-4952-4256-AFA4-577D418A1B2D}"/>
            </a:ext>
          </a:extLst>
        </xdr:cNvPr>
        <xdr:cNvSpPr txBox="1"/>
      </xdr:nvSpPr>
      <xdr:spPr>
        <a:xfrm>
          <a:off x="5472113" y="3924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82</xdr:row>
      <xdr:rowOff>995362</xdr:rowOff>
    </xdr:from>
    <xdr:ext cx="65" cy="172227"/>
    <xdr:sp macro="" textlink="">
      <xdr:nvSpPr>
        <xdr:cNvPr id="93" name="CasellaDiTesto 92">
          <a:extLst>
            <a:ext uri="{FF2B5EF4-FFF2-40B4-BE49-F238E27FC236}">
              <a16:creationId xmlns:a16="http://schemas.microsoft.com/office/drawing/2014/main" id="{231812FA-E342-4E08-A508-184E693A574A}"/>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4" name="CasellaDiTesto 93">
          <a:extLst>
            <a:ext uri="{FF2B5EF4-FFF2-40B4-BE49-F238E27FC236}">
              <a16:creationId xmlns:a16="http://schemas.microsoft.com/office/drawing/2014/main" id="{5B393FFE-34CA-4E8A-8B58-B76C0BA1662D}"/>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82</xdr:row>
      <xdr:rowOff>995362</xdr:rowOff>
    </xdr:from>
    <xdr:ext cx="65" cy="172227"/>
    <xdr:sp macro="" textlink="">
      <xdr:nvSpPr>
        <xdr:cNvPr id="95" name="CasellaDiTesto 94">
          <a:extLst>
            <a:ext uri="{FF2B5EF4-FFF2-40B4-BE49-F238E27FC236}">
              <a16:creationId xmlns:a16="http://schemas.microsoft.com/office/drawing/2014/main" id="{83EFECF5-35D1-44CE-8D7E-B51034914D8C}"/>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6" name="CasellaDiTesto 95">
          <a:extLst>
            <a:ext uri="{FF2B5EF4-FFF2-40B4-BE49-F238E27FC236}">
              <a16:creationId xmlns:a16="http://schemas.microsoft.com/office/drawing/2014/main" id="{9A147F85-2F96-46B2-B138-F647910708F9}"/>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82</xdr:row>
      <xdr:rowOff>995362</xdr:rowOff>
    </xdr:from>
    <xdr:ext cx="65" cy="172227"/>
    <xdr:sp macro="" textlink="">
      <xdr:nvSpPr>
        <xdr:cNvPr id="97" name="CasellaDiTesto 96">
          <a:extLst>
            <a:ext uri="{FF2B5EF4-FFF2-40B4-BE49-F238E27FC236}">
              <a16:creationId xmlns:a16="http://schemas.microsoft.com/office/drawing/2014/main" id="{3472A367-07F0-4F46-AF98-D0B2EE66D9EA}"/>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8" name="CasellaDiTesto 97">
          <a:extLst>
            <a:ext uri="{FF2B5EF4-FFF2-40B4-BE49-F238E27FC236}">
              <a16:creationId xmlns:a16="http://schemas.microsoft.com/office/drawing/2014/main" id="{440913AB-CCEF-46BD-90F1-76E927C213D5}"/>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99" name="CasellaDiTesto 98">
          <a:extLst>
            <a:ext uri="{FF2B5EF4-FFF2-40B4-BE49-F238E27FC236}">
              <a16:creationId xmlns:a16="http://schemas.microsoft.com/office/drawing/2014/main" id="{0FD8834F-8FF5-4E5E-ABEB-E12D1238BEAE}"/>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100" name="CasellaDiTesto 99">
          <a:extLst>
            <a:ext uri="{FF2B5EF4-FFF2-40B4-BE49-F238E27FC236}">
              <a16:creationId xmlns:a16="http://schemas.microsoft.com/office/drawing/2014/main" id="{317E14F1-318D-4141-A4D1-4DCC6AF565F3}"/>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83</xdr:row>
      <xdr:rowOff>995362</xdr:rowOff>
    </xdr:from>
    <xdr:ext cx="65" cy="172227"/>
    <xdr:sp macro="" textlink="">
      <xdr:nvSpPr>
        <xdr:cNvPr id="101" name="CasellaDiTesto 100">
          <a:extLst>
            <a:ext uri="{FF2B5EF4-FFF2-40B4-BE49-F238E27FC236}">
              <a16:creationId xmlns:a16="http://schemas.microsoft.com/office/drawing/2014/main" id="{E239EEBD-6354-485B-82AA-855D31F47E9C}"/>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84</xdr:row>
      <xdr:rowOff>995362</xdr:rowOff>
    </xdr:from>
    <xdr:ext cx="65" cy="172227"/>
    <xdr:sp macro="" textlink="">
      <xdr:nvSpPr>
        <xdr:cNvPr id="102" name="CasellaDiTesto 101">
          <a:extLst>
            <a:ext uri="{FF2B5EF4-FFF2-40B4-BE49-F238E27FC236}">
              <a16:creationId xmlns:a16="http://schemas.microsoft.com/office/drawing/2014/main" id="{013532CC-69D6-4198-BF6F-CB44F103558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84</xdr:row>
      <xdr:rowOff>995362</xdr:rowOff>
    </xdr:from>
    <xdr:ext cx="65" cy="172227"/>
    <xdr:sp macro="" textlink="">
      <xdr:nvSpPr>
        <xdr:cNvPr id="103" name="CasellaDiTesto 102">
          <a:extLst>
            <a:ext uri="{FF2B5EF4-FFF2-40B4-BE49-F238E27FC236}">
              <a16:creationId xmlns:a16="http://schemas.microsoft.com/office/drawing/2014/main" id="{464C76B0-3178-4CC2-92E2-7B429AAC726B}"/>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84</xdr:row>
      <xdr:rowOff>995362</xdr:rowOff>
    </xdr:from>
    <xdr:ext cx="65" cy="172227"/>
    <xdr:sp macro="" textlink="">
      <xdr:nvSpPr>
        <xdr:cNvPr id="104" name="CasellaDiTesto 103">
          <a:extLst>
            <a:ext uri="{FF2B5EF4-FFF2-40B4-BE49-F238E27FC236}">
              <a16:creationId xmlns:a16="http://schemas.microsoft.com/office/drawing/2014/main" id="{008F72D3-EB2C-4C3F-AF73-1C53575D500F}"/>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5" name="CasellaDiTesto 104">
          <a:extLst>
            <a:ext uri="{FF2B5EF4-FFF2-40B4-BE49-F238E27FC236}">
              <a16:creationId xmlns:a16="http://schemas.microsoft.com/office/drawing/2014/main" id="{A55A8931-13FF-40E6-86A4-5D946B958088}"/>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6" name="CasellaDiTesto 105">
          <a:extLst>
            <a:ext uri="{FF2B5EF4-FFF2-40B4-BE49-F238E27FC236}">
              <a16:creationId xmlns:a16="http://schemas.microsoft.com/office/drawing/2014/main" id="{B666455E-C3EF-417A-B43F-8567B640272A}"/>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7" name="CasellaDiTesto 106">
          <a:extLst>
            <a:ext uri="{FF2B5EF4-FFF2-40B4-BE49-F238E27FC236}">
              <a16:creationId xmlns:a16="http://schemas.microsoft.com/office/drawing/2014/main" id="{A18B364C-8A94-4913-934E-1ED499D6E45F}"/>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8" name="CasellaDiTesto 107">
          <a:extLst>
            <a:ext uri="{FF2B5EF4-FFF2-40B4-BE49-F238E27FC236}">
              <a16:creationId xmlns:a16="http://schemas.microsoft.com/office/drawing/2014/main" id="{589CDAD7-EE9E-49AA-911D-E8153576F365}"/>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09" name="CasellaDiTesto 108">
          <a:extLst>
            <a:ext uri="{FF2B5EF4-FFF2-40B4-BE49-F238E27FC236}">
              <a16:creationId xmlns:a16="http://schemas.microsoft.com/office/drawing/2014/main" id="{3C1A50AC-C004-4784-8291-EDE7B8271AE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89</xdr:row>
      <xdr:rowOff>995362</xdr:rowOff>
    </xdr:from>
    <xdr:ext cx="65" cy="172227"/>
    <xdr:sp macro="" textlink="">
      <xdr:nvSpPr>
        <xdr:cNvPr id="110" name="CasellaDiTesto 109">
          <a:extLst>
            <a:ext uri="{FF2B5EF4-FFF2-40B4-BE49-F238E27FC236}">
              <a16:creationId xmlns:a16="http://schemas.microsoft.com/office/drawing/2014/main" id="{520CC134-6E73-495B-92EF-5F4D11F20D7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111" name="CasellaDiTesto 110">
          <a:extLst>
            <a:ext uri="{FF2B5EF4-FFF2-40B4-BE49-F238E27FC236}">
              <a16:creationId xmlns:a16="http://schemas.microsoft.com/office/drawing/2014/main" id="{65655D23-32A9-4F9B-A398-5EFF6569F50E}"/>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112" name="CasellaDiTesto 111">
          <a:extLst>
            <a:ext uri="{FF2B5EF4-FFF2-40B4-BE49-F238E27FC236}">
              <a16:creationId xmlns:a16="http://schemas.microsoft.com/office/drawing/2014/main" id="{9952C644-266B-4353-AAC0-562917803394}"/>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92</xdr:row>
      <xdr:rowOff>995362</xdr:rowOff>
    </xdr:from>
    <xdr:ext cx="65" cy="172227"/>
    <xdr:sp macro="" textlink="">
      <xdr:nvSpPr>
        <xdr:cNvPr id="113" name="CasellaDiTesto 112">
          <a:extLst>
            <a:ext uri="{FF2B5EF4-FFF2-40B4-BE49-F238E27FC236}">
              <a16:creationId xmlns:a16="http://schemas.microsoft.com/office/drawing/2014/main" id="{02852C43-CD79-4CBA-86C9-8FD675B3A1A2}"/>
            </a:ext>
          </a:extLst>
        </xdr:cNvPr>
        <xdr:cNvSpPr txBox="1"/>
      </xdr:nvSpPr>
      <xdr:spPr>
        <a:xfrm>
          <a:off x="5472113" y="39409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4" name="CasellaDiTesto 113">
          <a:extLst>
            <a:ext uri="{FF2B5EF4-FFF2-40B4-BE49-F238E27FC236}">
              <a16:creationId xmlns:a16="http://schemas.microsoft.com/office/drawing/2014/main" id="{6FFD1F71-A30B-462D-8F2D-68DCBBEEA6DA}"/>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5" name="CasellaDiTesto 114">
          <a:extLst>
            <a:ext uri="{FF2B5EF4-FFF2-40B4-BE49-F238E27FC236}">
              <a16:creationId xmlns:a16="http://schemas.microsoft.com/office/drawing/2014/main" id="{ED52E8B8-2E81-4640-BB15-B5014B4E8519}"/>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6" name="CasellaDiTesto 115">
          <a:extLst>
            <a:ext uri="{FF2B5EF4-FFF2-40B4-BE49-F238E27FC236}">
              <a16:creationId xmlns:a16="http://schemas.microsoft.com/office/drawing/2014/main" id="{46E987B8-73A4-44FA-B613-1F9CA92E839C}"/>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7" name="CasellaDiTesto 116">
          <a:extLst>
            <a:ext uri="{FF2B5EF4-FFF2-40B4-BE49-F238E27FC236}">
              <a16:creationId xmlns:a16="http://schemas.microsoft.com/office/drawing/2014/main" id="{BBB89A84-DF26-4E95-8E78-B8DA0A0173FB}"/>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8" name="CasellaDiTesto 117">
          <a:extLst>
            <a:ext uri="{FF2B5EF4-FFF2-40B4-BE49-F238E27FC236}">
              <a16:creationId xmlns:a16="http://schemas.microsoft.com/office/drawing/2014/main" id="{15E0BF73-7EB3-4A9A-A55B-5DC9415E8BA0}"/>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146</xdr:row>
      <xdr:rowOff>995362</xdr:rowOff>
    </xdr:from>
    <xdr:ext cx="65" cy="172227"/>
    <xdr:sp macro="" textlink="">
      <xdr:nvSpPr>
        <xdr:cNvPr id="119" name="CasellaDiTesto 118">
          <a:extLst>
            <a:ext uri="{FF2B5EF4-FFF2-40B4-BE49-F238E27FC236}">
              <a16:creationId xmlns:a16="http://schemas.microsoft.com/office/drawing/2014/main" id="{E59333DA-7CC2-4F72-8A7A-D0EE52F16022}"/>
            </a:ext>
          </a:extLst>
        </xdr:cNvPr>
        <xdr:cNvSpPr txBox="1"/>
      </xdr:nvSpPr>
      <xdr:spPr>
        <a:xfrm>
          <a:off x="5793581" y="26003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147</xdr:row>
      <xdr:rowOff>995362</xdr:rowOff>
    </xdr:from>
    <xdr:ext cx="65" cy="172227"/>
    <xdr:sp macro="" textlink="">
      <xdr:nvSpPr>
        <xdr:cNvPr id="120" name="CasellaDiTesto 119">
          <a:extLst>
            <a:ext uri="{FF2B5EF4-FFF2-40B4-BE49-F238E27FC236}">
              <a16:creationId xmlns:a16="http://schemas.microsoft.com/office/drawing/2014/main" id="{57E70DF7-E90B-41C9-99EC-16906EA20DD7}"/>
            </a:ext>
          </a:extLst>
        </xdr:cNvPr>
        <xdr:cNvSpPr txBox="1"/>
      </xdr:nvSpPr>
      <xdr:spPr>
        <a:xfrm>
          <a:off x="5793581" y="2595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147</xdr:row>
      <xdr:rowOff>995362</xdr:rowOff>
    </xdr:from>
    <xdr:ext cx="65" cy="172227"/>
    <xdr:sp macro="" textlink="">
      <xdr:nvSpPr>
        <xdr:cNvPr id="121" name="CasellaDiTesto 120">
          <a:extLst>
            <a:ext uri="{FF2B5EF4-FFF2-40B4-BE49-F238E27FC236}">
              <a16:creationId xmlns:a16="http://schemas.microsoft.com/office/drawing/2014/main" id="{6B0238E6-C8CE-4E48-AB03-D8C643524AE7}"/>
            </a:ext>
          </a:extLst>
        </xdr:cNvPr>
        <xdr:cNvSpPr txBox="1"/>
      </xdr:nvSpPr>
      <xdr:spPr>
        <a:xfrm>
          <a:off x="5793581" y="2595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147</xdr:row>
      <xdr:rowOff>995362</xdr:rowOff>
    </xdr:from>
    <xdr:ext cx="65" cy="172227"/>
    <xdr:sp macro="" textlink="">
      <xdr:nvSpPr>
        <xdr:cNvPr id="122" name="CasellaDiTesto 121">
          <a:extLst>
            <a:ext uri="{FF2B5EF4-FFF2-40B4-BE49-F238E27FC236}">
              <a16:creationId xmlns:a16="http://schemas.microsoft.com/office/drawing/2014/main" id="{73DA1A2B-4F2F-433D-ACE7-86748F71C28C}"/>
            </a:ext>
          </a:extLst>
        </xdr:cNvPr>
        <xdr:cNvSpPr txBox="1"/>
      </xdr:nvSpPr>
      <xdr:spPr>
        <a:xfrm>
          <a:off x="5793581" y="2595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91</xdr:row>
      <xdr:rowOff>995362</xdr:rowOff>
    </xdr:from>
    <xdr:ext cx="65" cy="172227"/>
    <xdr:sp macro="" textlink="">
      <xdr:nvSpPr>
        <xdr:cNvPr id="123" name="CasellaDiTesto 122">
          <a:extLst>
            <a:ext uri="{FF2B5EF4-FFF2-40B4-BE49-F238E27FC236}">
              <a16:creationId xmlns:a16="http://schemas.microsoft.com/office/drawing/2014/main" id="{2CEC983C-7824-439C-BEE2-12FA633886B1}"/>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91</xdr:row>
      <xdr:rowOff>995362</xdr:rowOff>
    </xdr:from>
    <xdr:ext cx="65" cy="172227"/>
    <xdr:sp macro="" textlink="">
      <xdr:nvSpPr>
        <xdr:cNvPr id="124" name="CasellaDiTesto 123">
          <a:extLst>
            <a:ext uri="{FF2B5EF4-FFF2-40B4-BE49-F238E27FC236}">
              <a16:creationId xmlns:a16="http://schemas.microsoft.com/office/drawing/2014/main" id="{4A9EF56E-B047-4D86-AB82-3C31749F0C6C}"/>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125" name="CasellaDiTesto 124">
          <a:extLst>
            <a:ext uri="{FF2B5EF4-FFF2-40B4-BE49-F238E27FC236}">
              <a16:creationId xmlns:a16="http://schemas.microsoft.com/office/drawing/2014/main" id="{B454D33C-AFCF-4AC0-9328-AF4F5B6A67D0}"/>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26" name="CasellaDiTesto 125">
          <a:extLst>
            <a:ext uri="{FF2B5EF4-FFF2-40B4-BE49-F238E27FC236}">
              <a16:creationId xmlns:a16="http://schemas.microsoft.com/office/drawing/2014/main" id="{32DFA993-D0ED-4C3C-97CB-015B368CAB42}"/>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127" name="CasellaDiTesto 126">
          <a:extLst>
            <a:ext uri="{FF2B5EF4-FFF2-40B4-BE49-F238E27FC236}">
              <a16:creationId xmlns:a16="http://schemas.microsoft.com/office/drawing/2014/main" id="{CFA306E9-B337-4141-8CC8-3057F0F468DA}"/>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28" name="CasellaDiTesto 127">
          <a:extLst>
            <a:ext uri="{FF2B5EF4-FFF2-40B4-BE49-F238E27FC236}">
              <a16:creationId xmlns:a16="http://schemas.microsoft.com/office/drawing/2014/main" id="{F3FC5269-D3A7-4C9B-B93D-9964248B954B}"/>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127</xdr:row>
      <xdr:rowOff>995362</xdr:rowOff>
    </xdr:from>
    <xdr:ext cx="65" cy="172227"/>
    <xdr:sp macro="" textlink="">
      <xdr:nvSpPr>
        <xdr:cNvPr id="129" name="CasellaDiTesto 128">
          <a:extLst>
            <a:ext uri="{FF2B5EF4-FFF2-40B4-BE49-F238E27FC236}">
              <a16:creationId xmlns:a16="http://schemas.microsoft.com/office/drawing/2014/main" id="{C22F7C8A-4D35-4663-89B1-A0BF94F51406}"/>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30" name="CasellaDiTesto 129">
          <a:extLst>
            <a:ext uri="{FF2B5EF4-FFF2-40B4-BE49-F238E27FC236}">
              <a16:creationId xmlns:a16="http://schemas.microsoft.com/office/drawing/2014/main" id="{5C52E803-986D-4397-AF0E-163908C3CEA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31" name="CasellaDiTesto 130">
          <a:extLst>
            <a:ext uri="{FF2B5EF4-FFF2-40B4-BE49-F238E27FC236}">
              <a16:creationId xmlns:a16="http://schemas.microsoft.com/office/drawing/2014/main" id="{C1932D92-CE80-4F83-A4DE-8BD6D7E8666D}"/>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32" name="CasellaDiTesto 131">
          <a:extLst>
            <a:ext uri="{FF2B5EF4-FFF2-40B4-BE49-F238E27FC236}">
              <a16:creationId xmlns:a16="http://schemas.microsoft.com/office/drawing/2014/main" id="{4C6DDD93-9FA2-48E2-80E2-E38AD7DF622D}"/>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128</xdr:row>
      <xdr:rowOff>995362</xdr:rowOff>
    </xdr:from>
    <xdr:ext cx="65" cy="172227"/>
    <xdr:sp macro="" textlink="">
      <xdr:nvSpPr>
        <xdr:cNvPr id="133" name="CasellaDiTesto 132">
          <a:extLst>
            <a:ext uri="{FF2B5EF4-FFF2-40B4-BE49-F238E27FC236}">
              <a16:creationId xmlns:a16="http://schemas.microsoft.com/office/drawing/2014/main" id="{684B8805-7875-48B2-B8FF-BA13921A321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34" name="CasellaDiTesto 133">
          <a:extLst>
            <a:ext uri="{FF2B5EF4-FFF2-40B4-BE49-F238E27FC236}">
              <a16:creationId xmlns:a16="http://schemas.microsoft.com/office/drawing/2014/main" id="{E6BC7490-68ED-40E5-B7D9-E381813A1B7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35" name="CasellaDiTesto 134">
          <a:extLst>
            <a:ext uri="{FF2B5EF4-FFF2-40B4-BE49-F238E27FC236}">
              <a16:creationId xmlns:a16="http://schemas.microsoft.com/office/drawing/2014/main" id="{F2CC862F-2514-4510-87BE-C5834CD14ADB}"/>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36" name="CasellaDiTesto 135">
          <a:extLst>
            <a:ext uri="{FF2B5EF4-FFF2-40B4-BE49-F238E27FC236}">
              <a16:creationId xmlns:a16="http://schemas.microsoft.com/office/drawing/2014/main" id="{C7451247-2D56-417E-9EF6-88678FE006F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37" name="CasellaDiTesto 136">
          <a:extLst>
            <a:ext uri="{FF2B5EF4-FFF2-40B4-BE49-F238E27FC236}">
              <a16:creationId xmlns:a16="http://schemas.microsoft.com/office/drawing/2014/main" id="{08A8AC32-EA97-486D-86D5-D4CC1D3DC142}"/>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38" name="CasellaDiTesto 137">
          <a:extLst>
            <a:ext uri="{FF2B5EF4-FFF2-40B4-BE49-F238E27FC236}">
              <a16:creationId xmlns:a16="http://schemas.microsoft.com/office/drawing/2014/main" id="{80EB13E8-8792-4D52-893A-61B5D2D213FD}"/>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39" name="CasellaDiTesto 138">
          <a:extLst>
            <a:ext uri="{FF2B5EF4-FFF2-40B4-BE49-F238E27FC236}">
              <a16:creationId xmlns:a16="http://schemas.microsoft.com/office/drawing/2014/main" id="{17219401-91EA-490D-966F-CEE5CF361A2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40" name="CasellaDiTesto 139">
          <a:extLst>
            <a:ext uri="{FF2B5EF4-FFF2-40B4-BE49-F238E27FC236}">
              <a16:creationId xmlns:a16="http://schemas.microsoft.com/office/drawing/2014/main" id="{6E3DF8FC-60C9-4DBF-A1BC-BB02F7B5662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41" name="CasellaDiTesto 140">
          <a:extLst>
            <a:ext uri="{FF2B5EF4-FFF2-40B4-BE49-F238E27FC236}">
              <a16:creationId xmlns:a16="http://schemas.microsoft.com/office/drawing/2014/main" id="{41974F11-6D53-4417-BCB4-A71A40CED4B4}"/>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134</xdr:row>
      <xdr:rowOff>995362</xdr:rowOff>
    </xdr:from>
    <xdr:ext cx="65" cy="172227"/>
    <xdr:sp macro="" textlink="">
      <xdr:nvSpPr>
        <xdr:cNvPr id="142" name="CasellaDiTesto 141">
          <a:extLst>
            <a:ext uri="{FF2B5EF4-FFF2-40B4-BE49-F238E27FC236}">
              <a16:creationId xmlns:a16="http://schemas.microsoft.com/office/drawing/2014/main" id="{D7FF95DE-A7F6-4CA2-99AA-0F8BD3CAFF99}"/>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143" name="CasellaDiTesto 142">
          <a:extLst>
            <a:ext uri="{FF2B5EF4-FFF2-40B4-BE49-F238E27FC236}">
              <a16:creationId xmlns:a16="http://schemas.microsoft.com/office/drawing/2014/main" id="{BD86A01B-DE53-4DF6-9E91-887159C53C2A}"/>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144" name="CasellaDiTesto 143">
          <a:extLst>
            <a:ext uri="{FF2B5EF4-FFF2-40B4-BE49-F238E27FC236}">
              <a16:creationId xmlns:a16="http://schemas.microsoft.com/office/drawing/2014/main" id="{CF30065E-9979-4837-A187-FC6A246D847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137</xdr:row>
      <xdr:rowOff>995362</xdr:rowOff>
    </xdr:from>
    <xdr:ext cx="65" cy="172227"/>
    <xdr:sp macro="" textlink="">
      <xdr:nvSpPr>
        <xdr:cNvPr id="145" name="CasellaDiTesto 144">
          <a:extLst>
            <a:ext uri="{FF2B5EF4-FFF2-40B4-BE49-F238E27FC236}">
              <a16:creationId xmlns:a16="http://schemas.microsoft.com/office/drawing/2014/main" id="{5146B8A3-880D-44D1-8CCF-CF9613D69449}"/>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82</xdr:row>
      <xdr:rowOff>995362</xdr:rowOff>
    </xdr:from>
    <xdr:ext cx="65" cy="172227"/>
    <xdr:sp macro="" textlink="">
      <xdr:nvSpPr>
        <xdr:cNvPr id="146" name="CasellaDiTesto 145">
          <a:extLst>
            <a:ext uri="{FF2B5EF4-FFF2-40B4-BE49-F238E27FC236}">
              <a16:creationId xmlns:a16="http://schemas.microsoft.com/office/drawing/2014/main" id="{555CF9C0-70CF-49A2-88D4-8E87BEE7F3B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47" name="CasellaDiTesto 146">
          <a:extLst>
            <a:ext uri="{FF2B5EF4-FFF2-40B4-BE49-F238E27FC236}">
              <a16:creationId xmlns:a16="http://schemas.microsoft.com/office/drawing/2014/main" id="{81865DDA-A991-49BE-B3BA-06FEC91B4CC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82</xdr:row>
      <xdr:rowOff>995362</xdr:rowOff>
    </xdr:from>
    <xdr:ext cx="65" cy="172227"/>
    <xdr:sp macro="" textlink="">
      <xdr:nvSpPr>
        <xdr:cNvPr id="148" name="CasellaDiTesto 147">
          <a:extLst>
            <a:ext uri="{FF2B5EF4-FFF2-40B4-BE49-F238E27FC236}">
              <a16:creationId xmlns:a16="http://schemas.microsoft.com/office/drawing/2014/main" id="{FB9F6DF5-664F-4F93-A0D8-EDD8A75986D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49" name="CasellaDiTesto 148">
          <a:extLst>
            <a:ext uri="{FF2B5EF4-FFF2-40B4-BE49-F238E27FC236}">
              <a16:creationId xmlns:a16="http://schemas.microsoft.com/office/drawing/2014/main" id="{C2819F97-4202-4AD6-90A8-9911C12D9C86}"/>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82</xdr:row>
      <xdr:rowOff>995362</xdr:rowOff>
    </xdr:from>
    <xdr:ext cx="65" cy="172227"/>
    <xdr:sp macro="" textlink="">
      <xdr:nvSpPr>
        <xdr:cNvPr id="150" name="CasellaDiTesto 149">
          <a:extLst>
            <a:ext uri="{FF2B5EF4-FFF2-40B4-BE49-F238E27FC236}">
              <a16:creationId xmlns:a16="http://schemas.microsoft.com/office/drawing/2014/main" id="{FBC577C6-64C9-40C2-92AB-BD49B7E3DEE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51" name="CasellaDiTesto 150">
          <a:extLst>
            <a:ext uri="{FF2B5EF4-FFF2-40B4-BE49-F238E27FC236}">
              <a16:creationId xmlns:a16="http://schemas.microsoft.com/office/drawing/2014/main" id="{F164EC23-80F5-49B6-8B12-88CFFB067F56}"/>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52" name="CasellaDiTesto 151">
          <a:extLst>
            <a:ext uri="{FF2B5EF4-FFF2-40B4-BE49-F238E27FC236}">
              <a16:creationId xmlns:a16="http://schemas.microsoft.com/office/drawing/2014/main" id="{D12E05FB-EA93-4E8C-B4DB-AE37746E9CCA}"/>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53" name="CasellaDiTesto 152">
          <a:extLst>
            <a:ext uri="{FF2B5EF4-FFF2-40B4-BE49-F238E27FC236}">
              <a16:creationId xmlns:a16="http://schemas.microsoft.com/office/drawing/2014/main" id="{AD4B4567-9B1F-470D-A3BE-472B760DE09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83</xdr:row>
      <xdr:rowOff>995362</xdr:rowOff>
    </xdr:from>
    <xdr:ext cx="65" cy="172227"/>
    <xdr:sp macro="" textlink="">
      <xdr:nvSpPr>
        <xdr:cNvPr id="154" name="CasellaDiTesto 153">
          <a:extLst>
            <a:ext uri="{FF2B5EF4-FFF2-40B4-BE49-F238E27FC236}">
              <a16:creationId xmlns:a16="http://schemas.microsoft.com/office/drawing/2014/main" id="{3CB76B62-4702-4DA2-AE98-142F40351134}"/>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84</xdr:row>
      <xdr:rowOff>995362</xdr:rowOff>
    </xdr:from>
    <xdr:ext cx="65" cy="172227"/>
    <xdr:sp macro="" textlink="">
      <xdr:nvSpPr>
        <xdr:cNvPr id="155" name="CasellaDiTesto 154">
          <a:extLst>
            <a:ext uri="{FF2B5EF4-FFF2-40B4-BE49-F238E27FC236}">
              <a16:creationId xmlns:a16="http://schemas.microsoft.com/office/drawing/2014/main" id="{718F2E66-AD2A-4DF3-B9DF-DA13CAEF91EA}"/>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84</xdr:row>
      <xdr:rowOff>995362</xdr:rowOff>
    </xdr:from>
    <xdr:ext cx="65" cy="172227"/>
    <xdr:sp macro="" textlink="">
      <xdr:nvSpPr>
        <xdr:cNvPr id="156" name="CasellaDiTesto 155">
          <a:extLst>
            <a:ext uri="{FF2B5EF4-FFF2-40B4-BE49-F238E27FC236}">
              <a16:creationId xmlns:a16="http://schemas.microsoft.com/office/drawing/2014/main" id="{6F5CB5BB-D1A8-4174-89B6-24CCAE78144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84</xdr:row>
      <xdr:rowOff>995362</xdr:rowOff>
    </xdr:from>
    <xdr:ext cx="65" cy="172227"/>
    <xdr:sp macro="" textlink="">
      <xdr:nvSpPr>
        <xdr:cNvPr id="157" name="CasellaDiTesto 156">
          <a:extLst>
            <a:ext uri="{FF2B5EF4-FFF2-40B4-BE49-F238E27FC236}">
              <a16:creationId xmlns:a16="http://schemas.microsoft.com/office/drawing/2014/main" id="{01F99716-7097-46A2-89DF-EBBCB03D523C}"/>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58" name="CasellaDiTesto 157">
          <a:extLst>
            <a:ext uri="{FF2B5EF4-FFF2-40B4-BE49-F238E27FC236}">
              <a16:creationId xmlns:a16="http://schemas.microsoft.com/office/drawing/2014/main" id="{8D259D60-F05F-4AF4-BD02-D7D6D875105F}"/>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59" name="CasellaDiTesto 158">
          <a:extLst>
            <a:ext uri="{FF2B5EF4-FFF2-40B4-BE49-F238E27FC236}">
              <a16:creationId xmlns:a16="http://schemas.microsoft.com/office/drawing/2014/main" id="{23460322-8D4D-4608-A9A7-D6EEECAAC772}"/>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60" name="CasellaDiTesto 159">
          <a:extLst>
            <a:ext uri="{FF2B5EF4-FFF2-40B4-BE49-F238E27FC236}">
              <a16:creationId xmlns:a16="http://schemas.microsoft.com/office/drawing/2014/main" id="{3DDEB90A-95B0-4A70-A341-AA819683D6A2}"/>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61" name="CasellaDiTesto 160">
          <a:extLst>
            <a:ext uri="{FF2B5EF4-FFF2-40B4-BE49-F238E27FC236}">
              <a16:creationId xmlns:a16="http://schemas.microsoft.com/office/drawing/2014/main" id="{1873B650-0867-4104-ABBC-0431DFD19919}"/>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62" name="CasellaDiTesto 161">
          <a:extLst>
            <a:ext uri="{FF2B5EF4-FFF2-40B4-BE49-F238E27FC236}">
              <a16:creationId xmlns:a16="http://schemas.microsoft.com/office/drawing/2014/main" id="{3E8BC6C8-64FD-4453-B4D2-EAE028A7199C}"/>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89</xdr:row>
      <xdr:rowOff>995362</xdr:rowOff>
    </xdr:from>
    <xdr:ext cx="65" cy="172227"/>
    <xdr:sp macro="" textlink="">
      <xdr:nvSpPr>
        <xdr:cNvPr id="163" name="CasellaDiTesto 162">
          <a:extLst>
            <a:ext uri="{FF2B5EF4-FFF2-40B4-BE49-F238E27FC236}">
              <a16:creationId xmlns:a16="http://schemas.microsoft.com/office/drawing/2014/main" id="{EBE2D6FC-34F6-40A4-98D8-858218AC693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92</xdr:row>
      <xdr:rowOff>995362</xdr:rowOff>
    </xdr:from>
    <xdr:ext cx="65" cy="172227"/>
    <xdr:sp macro="" textlink="">
      <xdr:nvSpPr>
        <xdr:cNvPr id="164" name="CasellaDiTesto 163">
          <a:extLst>
            <a:ext uri="{FF2B5EF4-FFF2-40B4-BE49-F238E27FC236}">
              <a16:creationId xmlns:a16="http://schemas.microsoft.com/office/drawing/2014/main" id="{76239A5C-1D46-4AB8-B22B-D6B221660F5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92</xdr:row>
      <xdr:rowOff>995362</xdr:rowOff>
    </xdr:from>
    <xdr:ext cx="65" cy="172227"/>
    <xdr:sp macro="" textlink="">
      <xdr:nvSpPr>
        <xdr:cNvPr id="165" name="CasellaDiTesto 164">
          <a:extLst>
            <a:ext uri="{FF2B5EF4-FFF2-40B4-BE49-F238E27FC236}">
              <a16:creationId xmlns:a16="http://schemas.microsoft.com/office/drawing/2014/main" id="{A78E7226-0AA6-4E23-8187-7A7446E35078}"/>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92</xdr:row>
      <xdr:rowOff>995362</xdr:rowOff>
    </xdr:from>
    <xdr:ext cx="65" cy="172227"/>
    <xdr:sp macro="" textlink="">
      <xdr:nvSpPr>
        <xdr:cNvPr id="166" name="CasellaDiTesto 165">
          <a:extLst>
            <a:ext uri="{FF2B5EF4-FFF2-40B4-BE49-F238E27FC236}">
              <a16:creationId xmlns:a16="http://schemas.microsoft.com/office/drawing/2014/main" id="{03E4F0DC-BBF0-4FC7-BBA2-BC199F9B5B7D}"/>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67" name="CasellaDiTesto 166">
          <a:extLst>
            <a:ext uri="{FF2B5EF4-FFF2-40B4-BE49-F238E27FC236}">
              <a16:creationId xmlns:a16="http://schemas.microsoft.com/office/drawing/2014/main" id="{F6807679-B2B0-44A3-9F91-47D9D414D7B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68" name="CasellaDiTesto 167">
          <a:extLst>
            <a:ext uri="{FF2B5EF4-FFF2-40B4-BE49-F238E27FC236}">
              <a16:creationId xmlns:a16="http://schemas.microsoft.com/office/drawing/2014/main" id="{064671F9-8F2E-45D1-A5E5-60FE698208B6}"/>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69" name="CasellaDiTesto 168">
          <a:extLst>
            <a:ext uri="{FF2B5EF4-FFF2-40B4-BE49-F238E27FC236}">
              <a16:creationId xmlns:a16="http://schemas.microsoft.com/office/drawing/2014/main" id="{EE4E3AC7-1CB8-436F-909C-C642BBAE6C2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70" name="CasellaDiTesto 169">
          <a:extLst>
            <a:ext uri="{FF2B5EF4-FFF2-40B4-BE49-F238E27FC236}">
              <a16:creationId xmlns:a16="http://schemas.microsoft.com/office/drawing/2014/main" id="{1D2DC5C5-E841-40D6-89C8-E90D3D368283}"/>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71" name="CasellaDiTesto 170">
          <a:extLst>
            <a:ext uri="{FF2B5EF4-FFF2-40B4-BE49-F238E27FC236}">
              <a16:creationId xmlns:a16="http://schemas.microsoft.com/office/drawing/2014/main" id="{2E15B3C8-28D7-4C0E-8626-BA63681A6039}"/>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146</xdr:row>
      <xdr:rowOff>995362</xdr:rowOff>
    </xdr:from>
    <xdr:ext cx="65" cy="172227"/>
    <xdr:sp macro="" textlink="">
      <xdr:nvSpPr>
        <xdr:cNvPr id="172" name="CasellaDiTesto 171">
          <a:extLst>
            <a:ext uri="{FF2B5EF4-FFF2-40B4-BE49-F238E27FC236}">
              <a16:creationId xmlns:a16="http://schemas.microsoft.com/office/drawing/2014/main" id="{DDF24B39-81E2-4A31-B7B3-59C9115F18D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173" name="CasellaDiTesto 172">
          <a:extLst>
            <a:ext uri="{FF2B5EF4-FFF2-40B4-BE49-F238E27FC236}">
              <a16:creationId xmlns:a16="http://schemas.microsoft.com/office/drawing/2014/main" id="{E5A71EDB-B793-4242-9EDD-0360F5371395}"/>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174" name="CasellaDiTesto 173">
          <a:extLst>
            <a:ext uri="{FF2B5EF4-FFF2-40B4-BE49-F238E27FC236}">
              <a16:creationId xmlns:a16="http://schemas.microsoft.com/office/drawing/2014/main" id="{93DA98E6-E744-4DBD-A11C-9163FBB2C547}"/>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147</xdr:row>
      <xdr:rowOff>995362</xdr:rowOff>
    </xdr:from>
    <xdr:ext cx="65" cy="172227"/>
    <xdr:sp macro="" textlink="">
      <xdr:nvSpPr>
        <xdr:cNvPr id="175" name="CasellaDiTesto 174">
          <a:extLst>
            <a:ext uri="{FF2B5EF4-FFF2-40B4-BE49-F238E27FC236}">
              <a16:creationId xmlns:a16="http://schemas.microsoft.com/office/drawing/2014/main" id="{D04942B3-203D-4718-9141-1518575E91D1}"/>
            </a:ext>
          </a:extLst>
        </xdr:cNvPr>
        <xdr:cNvSpPr txBox="1"/>
      </xdr:nvSpPr>
      <xdr:spPr>
        <a:xfrm>
          <a:off x="5795282" y="26397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76" name="CasellaDiTesto 175">
          <a:extLst>
            <a:ext uri="{FF2B5EF4-FFF2-40B4-BE49-F238E27FC236}">
              <a16:creationId xmlns:a16="http://schemas.microsoft.com/office/drawing/2014/main" id="{C7BF1A19-272E-4678-AEF2-826EDA330D58}"/>
            </a:ext>
          </a:extLst>
        </xdr:cNvPr>
        <xdr:cNvSpPr txBox="1"/>
      </xdr:nvSpPr>
      <xdr:spPr>
        <a:xfrm>
          <a:off x="6774656"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77" name="CasellaDiTesto 176">
          <a:extLst>
            <a:ext uri="{FF2B5EF4-FFF2-40B4-BE49-F238E27FC236}">
              <a16:creationId xmlns:a16="http://schemas.microsoft.com/office/drawing/2014/main" id="{0212D3E7-80C4-4442-A25D-B3EA6D78F303}"/>
            </a:ext>
          </a:extLst>
        </xdr:cNvPr>
        <xdr:cNvSpPr txBox="1"/>
      </xdr:nvSpPr>
      <xdr:spPr>
        <a:xfrm>
          <a:off x="6774656"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166</xdr:row>
      <xdr:rowOff>995362</xdr:rowOff>
    </xdr:from>
    <xdr:ext cx="65" cy="172227"/>
    <xdr:sp macro="" textlink="">
      <xdr:nvSpPr>
        <xdr:cNvPr id="178" name="CasellaDiTesto 177">
          <a:extLst>
            <a:ext uri="{FF2B5EF4-FFF2-40B4-BE49-F238E27FC236}">
              <a16:creationId xmlns:a16="http://schemas.microsoft.com/office/drawing/2014/main" id="{9004FC83-2709-4E7A-9F9F-4534390C8443}"/>
            </a:ext>
          </a:extLst>
        </xdr:cNvPr>
        <xdr:cNvSpPr txBox="1"/>
      </xdr:nvSpPr>
      <xdr:spPr>
        <a:xfrm>
          <a:off x="6774656"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79" name="CasellaDiTesto 178">
          <a:extLst>
            <a:ext uri="{FF2B5EF4-FFF2-40B4-BE49-F238E27FC236}">
              <a16:creationId xmlns:a16="http://schemas.microsoft.com/office/drawing/2014/main" id="{000039A6-1CF5-4043-AAF4-F0F1E7D5A198}"/>
            </a:ext>
          </a:extLst>
        </xdr:cNvPr>
        <xdr:cNvSpPr txBox="1"/>
      </xdr:nvSpPr>
      <xdr:spPr>
        <a:xfrm>
          <a:off x="14094619"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80" name="CasellaDiTesto 179">
          <a:extLst>
            <a:ext uri="{FF2B5EF4-FFF2-40B4-BE49-F238E27FC236}">
              <a16:creationId xmlns:a16="http://schemas.microsoft.com/office/drawing/2014/main" id="{DE4772B4-E531-46BC-ABDE-FFA60B727D0A}"/>
            </a:ext>
          </a:extLst>
        </xdr:cNvPr>
        <xdr:cNvSpPr txBox="1"/>
      </xdr:nvSpPr>
      <xdr:spPr>
        <a:xfrm>
          <a:off x="14094619"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166</xdr:row>
      <xdr:rowOff>995362</xdr:rowOff>
    </xdr:from>
    <xdr:ext cx="65" cy="172227"/>
    <xdr:sp macro="" textlink="">
      <xdr:nvSpPr>
        <xdr:cNvPr id="181" name="CasellaDiTesto 180">
          <a:extLst>
            <a:ext uri="{FF2B5EF4-FFF2-40B4-BE49-F238E27FC236}">
              <a16:creationId xmlns:a16="http://schemas.microsoft.com/office/drawing/2014/main" id="{948694A5-0126-44E9-B068-F397EDFE6559}"/>
            </a:ext>
          </a:extLst>
        </xdr:cNvPr>
        <xdr:cNvSpPr txBox="1"/>
      </xdr:nvSpPr>
      <xdr:spPr>
        <a:xfrm>
          <a:off x="14094619" y="10011489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82" name="CasellaDiTesto 181">
          <a:extLst>
            <a:ext uri="{FF2B5EF4-FFF2-40B4-BE49-F238E27FC236}">
              <a16:creationId xmlns:a16="http://schemas.microsoft.com/office/drawing/2014/main" id="{AB2B85A6-D6D2-48EB-95A4-0F5B1B66BF15}"/>
            </a:ext>
          </a:extLst>
        </xdr:cNvPr>
        <xdr:cNvSpPr txBox="1"/>
      </xdr:nvSpPr>
      <xdr:spPr>
        <a:xfrm>
          <a:off x="6774656"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83" name="CasellaDiTesto 182">
          <a:extLst>
            <a:ext uri="{FF2B5EF4-FFF2-40B4-BE49-F238E27FC236}">
              <a16:creationId xmlns:a16="http://schemas.microsoft.com/office/drawing/2014/main" id="{CDEA2266-06E9-4CF1-B393-656AE3C1E680}"/>
            </a:ext>
          </a:extLst>
        </xdr:cNvPr>
        <xdr:cNvSpPr txBox="1"/>
      </xdr:nvSpPr>
      <xdr:spPr>
        <a:xfrm>
          <a:off x="6774656"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167</xdr:row>
      <xdr:rowOff>995362</xdr:rowOff>
    </xdr:from>
    <xdr:ext cx="65" cy="172227"/>
    <xdr:sp macro="" textlink="">
      <xdr:nvSpPr>
        <xdr:cNvPr id="184" name="CasellaDiTesto 183">
          <a:extLst>
            <a:ext uri="{FF2B5EF4-FFF2-40B4-BE49-F238E27FC236}">
              <a16:creationId xmlns:a16="http://schemas.microsoft.com/office/drawing/2014/main" id="{22C518F4-06D7-415A-B148-6924A9F9794C}"/>
            </a:ext>
          </a:extLst>
        </xdr:cNvPr>
        <xdr:cNvSpPr txBox="1"/>
      </xdr:nvSpPr>
      <xdr:spPr>
        <a:xfrm>
          <a:off x="6774656"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85" name="CasellaDiTesto 184">
          <a:extLst>
            <a:ext uri="{FF2B5EF4-FFF2-40B4-BE49-F238E27FC236}">
              <a16:creationId xmlns:a16="http://schemas.microsoft.com/office/drawing/2014/main" id="{F2F6ADD7-A9DF-4BED-8844-B973855FA117}"/>
            </a:ext>
          </a:extLst>
        </xdr:cNvPr>
        <xdr:cNvSpPr txBox="1"/>
      </xdr:nvSpPr>
      <xdr:spPr>
        <a:xfrm>
          <a:off x="14094619"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86" name="CasellaDiTesto 185">
          <a:extLst>
            <a:ext uri="{FF2B5EF4-FFF2-40B4-BE49-F238E27FC236}">
              <a16:creationId xmlns:a16="http://schemas.microsoft.com/office/drawing/2014/main" id="{4DE5A3C1-4FBF-4952-9343-71AF2C856617}"/>
            </a:ext>
          </a:extLst>
        </xdr:cNvPr>
        <xdr:cNvSpPr txBox="1"/>
      </xdr:nvSpPr>
      <xdr:spPr>
        <a:xfrm>
          <a:off x="14094619"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167</xdr:row>
      <xdr:rowOff>995362</xdr:rowOff>
    </xdr:from>
    <xdr:ext cx="65" cy="172227"/>
    <xdr:sp macro="" textlink="">
      <xdr:nvSpPr>
        <xdr:cNvPr id="187" name="CasellaDiTesto 186">
          <a:extLst>
            <a:ext uri="{FF2B5EF4-FFF2-40B4-BE49-F238E27FC236}">
              <a16:creationId xmlns:a16="http://schemas.microsoft.com/office/drawing/2014/main" id="{AFABEFC9-0695-49B9-AD82-306A417D97C0}"/>
            </a:ext>
          </a:extLst>
        </xdr:cNvPr>
        <xdr:cNvSpPr txBox="1"/>
      </xdr:nvSpPr>
      <xdr:spPr>
        <a:xfrm>
          <a:off x="14094619" y="2063543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88" name="CasellaDiTesto 187">
          <a:extLst>
            <a:ext uri="{FF2B5EF4-FFF2-40B4-BE49-F238E27FC236}">
              <a16:creationId xmlns:a16="http://schemas.microsoft.com/office/drawing/2014/main" id="{AF6B0178-7EC1-488E-B086-6F2100A44B47}"/>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89" name="CasellaDiTesto 188">
          <a:extLst>
            <a:ext uri="{FF2B5EF4-FFF2-40B4-BE49-F238E27FC236}">
              <a16:creationId xmlns:a16="http://schemas.microsoft.com/office/drawing/2014/main" id="{00877090-BD00-4F7C-A2E5-CF889EA04B62}"/>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90" name="CasellaDiTesto 189">
          <a:extLst>
            <a:ext uri="{FF2B5EF4-FFF2-40B4-BE49-F238E27FC236}">
              <a16:creationId xmlns:a16="http://schemas.microsoft.com/office/drawing/2014/main" id="{6A5FE76B-4DBA-4192-A834-94AEA7BC5B57}"/>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1" name="CasellaDiTesto 190">
          <a:extLst>
            <a:ext uri="{FF2B5EF4-FFF2-40B4-BE49-F238E27FC236}">
              <a16:creationId xmlns:a16="http://schemas.microsoft.com/office/drawing/2014/main" id="{B861974A-4054-40F2-8B43-AC3D4848DD3D}"/>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129</xdr:row>
      <xdr:rowOff>995362</xdr:rowOff>
    </xdr:from>
    <xdr:ext cx="65" cy="172227"/>
    <xdr:sp macro="" textlink="">
      <xdr:nvSpPr>
        <xdr:cNvPr id="192" name="CasellaDiTesto 191">
          <a:extLst>
            <a:ext uri="{FF2B5EF4-FFF2-40B4-BE49-F238E27FC236}">
              <a16:creationId xmlns:a16="http://schemas.microsoft.com/office/drawing/2014/main" id="{E4076CDD-6DD3-4A62-AC73-79F96F1B2F55}"/>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3" name="CasellaDiTesto 192">
          <a:extLst>
            <a:ext uri="{FF2B5EF4-FFF2-40B4-BE49-F238E27FC236}">
              <a16:creationId xmlns:a16="http://schemas.microsoft.com/office/drawing/2014/main" id="{57CC3ED8-5931-4AC6-B0ED-1CE602C13A9C}"/>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4" name="CasellaDiTesto 193">
          <a:extLst>
            <a:ext uri="{FF2B5EF4-FFF2-40B4-BE49-F238E27FC236}">
              <a16:creationId xmlns:a16="http://schemas.microsoft.com/office/drawing/2014/main" id="{A4FE1E00-C183-4FF1-AE95-97984368279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5" name="CasellaDiTesto 194">
          <a:extLst>
            <a:ext uri="{FF2B5EF4-FFF2-40B4-BE49-F238E27FC236}">
              <a16:creationId xmlns:a16="http://schemas.microsoft.com/office/drawing/2014/main" id="{C2187D5F-4FE9-4E95-A8A5-828296B0AD4A}"/>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130</xdr:row>
      <xdr:rowOff>995362</xdr:rowOff>
    </xdr:from>
    <xdr:ext cx="65" cy="172227"/>
    <xdr:sp macro="" textlink="">
      <xdr:nvSpPr>
        <xdr:cNvPr id="196" name="CasellaDiTesto 195">
          <a:extLst>
            <a:ext uri="{FF2B5EF4-FFF2-40B4-BE49-F238E27FC236}">
              <a16:creationId xmlns:a16="http://schemas.microsoft.com/office/drawing/2014/main" id="{4A0C006C-6B62-41A3-A1E4-A4434331B3B8}"/>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197" name="CasellaDiTesto 196">
          <a:extLst>
            <a:ext uri="{FF2B5EF4-FFF2-40B4-BE49-F238E27FC236}">
              <a16:creationId xmlns:a16="http://schemas.microsoft.com/office/drawing/2014/main" id="{96EDB2CB-92C6-461B-92CC-0A9F9517CBEF}"/>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198" name="CasellaDiTesto 197">
          <a:extLst>
            <a:ext uri="{FF2B5EF4-FFF2-40B4-BE49-F238E27FC236}">
              <a16:creationId xmlns:a16="http://schemas.microsoft.com/office/drawing/2014/main" id="{7C9FA129-6687-492B-A560-42C332F45E3E}"/>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131</xdr:row>
      <xdr:rowOff>995362</xdr:rowOff>
    </xdr:from>
    <xdr:ext cx="65" cy="172227"/>
    <xdr:sp macro="" textlink="">
      <xdr:nvSpPr>
        <xdr:cNvPr id="199" name="CasellaDiTesto 198">
          <a:extLst>
            <a:ext uri="{FF2B5EF4-FFF2-40B4-BE49-F238E27FC236}">
              <a16:creationId xmlns:a16="http://schemas.microsoft.com/office/drawing/2014/main" id="{68BE908D-5EEC-4F34-8547-8C35A242C599}"/>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0" name="CasellaDiTesto 199">
          <a:extLst>
            <a:ext uri="{FF2B5EF4-FFF2-40B4-BE49-F238E27FC236}">
              <a16:creationId xmlns:a16="http://schemas.microsoft.com/office/drawing/2014/main" id="{740119F8-15F9-45FE-B34B-C8A424C70F4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1" name="CasellaDiTesto 200">
          <a:extLst>
            <a:ext uri="{FF2B5EF4-FFF2-40B4-BE49-F238E27FC236}">
              <a16:creationId xmlns:a16="http://schemas.microsoft.com/office/drawing/2014/main" id="{85378A49-8C71-4B77-AF3E-D07C57920039}"/>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2" name="CasellaDiTesto 201">
          <a:extLst>
            <a:ext uri="{FF2B5EF4-FFF2-40B4-BE49-F238E27FC236}">
              <a16:creationId xmlns:a16="http://schemas.microsoft.com/office/drawing/2014/main" id="{134BD830-E0C0-43B7-9183-B452C68CEC1F}"/>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3" name="CasellaDiTesto 202">
          <a:extLst>
            <a:ext uri="{FF2B5EF4-FFF2-40B4-BE49-F238E27FC236}">
              <a16:creationId xmlns:a16="http://schemas.microsoft.com/office/drawing/2014/main" id="{8F42E37F-43B4-4491-943B-2CDDB2332297}"/>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4" name="CasellaDiTesto 203">
          <a:extLst>
            <a:ext uri="{FF2B5EF4-FFF2-40B4-BE49-F238E27FC236}">
              <a16:creationId xmlns:a16="http://schemas.microsoft.com/office/drawing/2014/main" id="{D1E12B1E-4772-4520-8C17-42FF6FAE19FA}"/>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136</xdr:row>
      <xdr:rowOff>995362</xdr:rowOff>
    </xdr:from>
    <xdr:ext cx="65" cy="172227"/>
    <xdr:sp macro="" textlink="">
      <xdr:nvSpPr>
        <xdr:cNvPr id="205" name="CasellaDiTesto 204">
          <a:extLst>
            <a:ext uri="{FF2B5EF4-FFF2-40B4-BE49-F238E27FC236}">
              <a16:creationId xmlns:a16="http://schemas.microsoft.com/office/drawing/2014/main" id="{8F86E0D2-A328-4022-B9D6-C6422E9924E0}"/>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206" name="CasellaDiTesto 205">
          <a:extLst>
            <a:ext uri="{FF2B5EF4-FFF2-40B4-BE49-F238E27FC236}">
              <a16:creationId xmlns:a16="http://schemas.microsoft.com/office/drawing/2014/main" id="{A2CFA0AF-DECF-4270-B681-E6D8C4C901AE}"/>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207" name="CasellaDiTesto 206">
          <a:extLst>
            <a:ext uri="{FF2B5EF4-FFF2-40B4-BE49-F238E27FC236}">
              <a16:creationId xmlns:a16="http://schemas.microsoft.com/office/drawing/2014/main" id="{8E24AE01-9340-4991-AE53-C592A777FA99}"/>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139</xdr:row>
      <xdr:rowOff>995362</xdr:rowOff>
    </xdr:from>
    <xdr:ext cx="65" cy="172227"/>
    <xdr:sp macro="" textlink="">
      <xdr:nvSpPr>
        <xdr:cNvPr id="208" name="CasellaDiTesto 207">
          <a:extLst>
            <a:ext uri="{FF2B5EF4-FFF2-40B4-BE49-F238E27FC236}">
              <a16:creationId xmlns:a16="http://schemas.microsoft.com/office/drawing/2014/main" id="{7D0D6A1D-D41B-48C5-9AC6-FFB2DDFC7E0B}"/>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09" name="CasellaDiTesto 208">
          <a:extLst>
            <a:ext uri="{FF2B5EF4-FFF2-40B4-BE49-F238E27FC236}">
              <a16:creationId xmlns:a16="http://schemas.microsoft.com/office/drawing/2014/main" id="{8B6D5A8E-5310-4DAA-815F-FE3DCE6296F0}"/>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0" name="CasellaDiTesto 209">
          <a:extLst>
            <a:ext uri="{FF2B5EF4-FFF2-40B4-BE49-F238E27FC236}">
              <a16:creationId xmlns:a16="http://schemas.microsoft.com/office/drawing/2014/main" id="{4C831C12-8CB8-409C-A51F-61869FF60A75}"/>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1" name="CasellaDiTesto 210">
          <a:extLst>
            <a:ext uri="{FF2B5EF4-FFF2-40B4-BE49-F238E27FC236}">
              <a16:creationId xmlns:a16="http://schemas.microsoft.com/office/drawing/2014/main" id="{0F4E1A0C-F696-4F36-8C0A-1A5DE6293B8D}"/>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2" name="CasellaDiTesto 211">
          <a:extLst>
            <a:ext uri="{FF2B5EF4-FFF2-40B4-BE49-F238E27FC236}">
              <a16:creationId xmlns:a16="http://schemas.microsoft.com/office/drawing/2014/main" id="{ED3EC02B-A249-4C1C-B8A5-22F39FBD915B}"/>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3" name="CasellaDiTesto 212">
          <a:extLst>
            <a:ext uri="{FF2B5EF4-FFF2-40B4-BE49-F238E27FC236}">
              <a16:creationId xmlns:a16="http://schemas.microsoft.com/office/drawing/2014/main" id="{1AE91232-B7E3-4267-A7E1-2AAD7F26DCF3}"/>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148</xdr:row>
      <xdr:rowOff>995362</xdr:rowOff>
    </xdr:from>
    <xdr:ext cx="65" cy="172227"/>
    <xdr:sp macro="" textlink="">
      <xdr:nvSpPr>
        <xdr:cNvPr id="214" name="CasellaDiTesto 213">
          <a:extLst>
            <a:ext uri="{FF2B5EF4-FFF2-40B4-BE49-F238E27FC236}">
              <a16:creationId xmlns:a16="http://schemas.microsoft.com/office/drawing/2014/main" id="{31CCCB8C-6388-466A-B491-4A8F317909A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215" name="CasellaDiTesto 214">
          <a:extLst>
            <a:ext uri="{FF2B5EF4-FFF2-40B4-BE49-F238E27FC236}">
              <a16:creationId xmlns:a16="http://schemas.microsoft.com/office/drawing/2014/main" id="{80C98E7F-ACF3-4CAC-8898-57F370D47276}"/>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216" name="CasellaDiTesto 215">
          <a:extLst>
            <a:ext uri="{FF2B5EF4-FFF2-40B4-BE49-F238E27FC236}">
              <a16:creationId xmlns:a16="http://schemas.microsoft.com/office/drawing/2014/main" id="{D4E0DE0D-0B8A-4DCD-9204-8B99CCC931B8}"/>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149</xdr:row>
      <xdr:rowOff>995362</xdr:rowOff>
    </xdr:from>
    <xdr:ext cx="65" cy="172227"/>
    <xdr:sp macro="" textlink="">
      <xdr:nvSpPr>
        <xdr:cNvPr id="217" name="CasellaDiTesto 216">
          <a:extLst>
            <a:ext uri="{FF2B5EF4-FFF2-40B4-BE49-F238E27FC236}">
              <a16:creationId xmlns:a16="http://schemas.microsoft.com/office/drawing/2014/main" id="{82A7F12F-1CCA-4276-982A-4137F71386C4}"/>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218" name="CasellaDiTesto 217">
          <a:extLst>
            <a:ext uri="{FF2B5EF4-FFF2-40B4-BE49-F238E27FC236}">
              <a16:creationId xmlns:a16="http://schemas.microsoft.com/office/drawing/2014/main" id="{AB3CFB3B-5B6E-4ABD-BD3F-2F7FBDF3CAA9}"/>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219" name="CasellaDiTesto 218">
          <a:extLst>
            <a:ext uri="{FF2B5EF4-FFF2-40B4-BE49-F238E27FC236}">
              <a16:creationId xmlns:a16="http://schemas.microsoft.com/office/drawing/2014/main" id="{99A5EB47-D1A6-4373-B7F6-57D571AA27ED}"/>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168</xdr:row>
      <xdr:rowOff>995362</xdr:rowOff>
    </xdr:from>
    <xdr:ext cx="65" cy="172227"/>
    <xdr:sp macro="" textlink="">
      <xdr:nvSpPr>
        <xdr:cNvPr id="220" name="CasellaDiTesto 219">
          <a:extLst>
            <a:ext uri="{FF2B5EF4-FFF2-40B4-BE49-F238E27FC236}">
              <a16:creationId xmlns:a16="http://schemas.microsoft.com/office/drawing/2014/main" id="{EE83B596-BC74-4E3B-B8BF-355E1F0053E3}"/>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21" name="CasellaDiTesto 220">
          <a:extLst>
            <a:ext uri="{FF2B5EF4-FFF2-40B4-BE49-F238E27FC236}">
              <a16:creationId xmlns:a16="http://schemas.microsoft.com/office/drawing/2014/main" id="{332E2232-BBD9-4CCE-A679-965186396DDE}"/>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22" name="CasellaDiTesto 221">
          <a:extLst>
            <a:ext uri="{FF2B5EF4-FFF2-40B4-BE49-F238E27FC236}">
              <a16:creationId xmlns:a16="http://schemas.microsoft.com/office/drawing/2014/main" id="{CA6E17EA-F383-4F04-9A28-EAC3A99AD5E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169</xdr:row>
      <xdr:rowOff>995362</xdr:rowOff>
    </xdr:from>
    <xdr:ext cx="65" cy="172227"/>
    <xdr:sp macro="" textlink="">
      <xdr:nvSpPr>
        <xdr:cNvPr id="223" name="CasellaDiTesto 222">
          <a:extLst>
            <a:ext uri="{FF2B5EF4-FFF2-40B4-BE49-F238E27FC236}">
              <a16:creationId xmlns:a16="http://schemas.microsoft.com/office/drawing/2014/main" id="{4AF727A2-3753-4EDE-8B4A-404137CA1DA1}"/>
            </a:ext>
          </a:extLst>
        </xdr:cNvPr>
        <xdr:cNvSpPr txBox="1"/>
      </xdr:nvSpPr>
      <xdr:spPr>
        <a:xfrm>
          <a:off x="14308931" y="117395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24" name="CasellaDiTesto 223">
          <a:extLst>
            <a:ext uri="{FF2B5EF4-FFF2-40B4-BE49-F238E27FC236}">
              <a16:creationId xmlns:a16="http://schemas.microsoft.com/office/drawing/2014/main" id="{5926AA3D-69BC-4192-ADF5-A954FD430D09}"/>
            </a:ext>
          </a:extLst>
        </xdr:cNvPr>
        <xdr:cNvSpPr txBox="1"/>
      </xdr:nvSpPr>
      <xdr:spPr>
        <a:xfrm>
          <a:off x="14308931" y="950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25" name="CasellaDiTesto 224">
          <a:extLst>
            <a:ext uri="{FF2B5EF4-FFF2-40B4-BE49-F238E27FC236}">
              <a16:creationId xmlns:a16="http://schemas.microsoft.com/office/drawing/2014/main" id="{01ACE62E-E768-4CDC-A255-CF8E6EDA2F9C}"/>
            </a:ext>
          </a:extLst>
        </xdr:cNvPr>
        <xdr:cNvSpPr txBox="1"/>
      </xdr:nvSpPr>
      <xdr:spPr>
        <a:xfrm>
          <a:off x="14308931" y="950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170</xdr:row>
      <xdr:rowOff>995362</xdr:rowOff>
    </xdr:from>
    <xdr:ext cx="65" cy="172227"/>
    <xdr:sp macro="" textlink="">
      <xdr:nvSpPr>
        <xdr:cNvPr id="226" name="CasellaDiTesto 225">
          <a:extLst>
            <a:ext uri="{FF2B5EF4-FFF2-40B4-BE49-F238E27FC236}">
              <a16:creationId xmlns:a16="http://schemas.microsoft.com/office/drawing/2014/main" id="{018C2018-E7BF-4A1A-A5B3-44257DFA9337}"/>
            </a:ext>
          </a:extLst>
        </xdr:cNvPr>
        <xdr:cNvSpPr txBox="1"/>
      </xdr:nvSpPr>
      <xdr:spPr>
        <a:xfrm>
          <a:off x="14308931" y="95078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27" name="CasellaDiTesto 226">
          <a:extLst>
            <a:ext uri="{FF2B5EF4-FFF2-40B4-BE49-F238E27FC236}">
              <a16:creationId xmlns:a16="http://schemas.microsoft.com/office/drawing/2014/main" id="{91604BA6-3C9A-4317-8D4B-4755AC40EBE4}"/>
            </a:ext>
          </a:extLst>
        </xdr:cNvPr>
        <xdr:cNvSpPr txBox="1"/>
      </xdr:nvSpPr>
      <xdr:spPr>
        <a:xfrm>
          <a:off x="14308931" y="94683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28" name="CasellaDiTesto 227">
          <a:extLst>
            <a:ext uri="{FF2B5EF4-FFF2-40B4-BE49-F238E27FC236}">
              <a16:creationId xmlns:a16="http://schemas.microsoft.com/office/drawing/2014/main" id="{E52F1D1D-42ED-469F-A36E-E90A295126D3}"/>
            </a:ext>
          </a:extLst>
        </xdr:cNvPr>
        <xdr:cNvSpPr txBox="1"/>
      </xdr:nvSpPr>
      <xdr:spPr>
        <a:xfrm>
          <a:off x="14308931" y="94683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6</xdr:col>
      <xdr:colOff>3943350</xdr:colOff>
      <xdr:row>171</xdr:row>
      <xdr:rowOff>995362</xdr:rowOff>
    </xdr:from>
    <xdr:ext cx="65" cy="172227"/>
    <xdr:sp macro="" textlink="">
      <xdr:nvSpPr>
        <xdr:cNvPr id="229" name="CasellaDiTesto 228">
          <a:extLst>
            <a:ext uri="{FF2B5EF4-FFF2-40B4-BE49-F238E27FC236}">
              <a16:creationId xmlns:a16="http://schemas.microsoft.com/office/drawing/2014/main" id="{BEBDDA59-36E5-4075-9EEB-6A74C7738755}"/>
            </a:ext>
          </a:extLst>
        </xdr:cNvPr>
        <xdr:cNvSpPr txBox="1"/>
      </xdr:nvSpPr>
      <xdr:spPr>
        <a:xfrm>
          <a:off x="14308931" y="946832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3943350</xdr:colOff>
      <xdr:row>5</xdr:row>
      <xdr:rowOff>0</xdr:rowOff>
    </xdr:from>
    <xdr:ext cx="65" cy="172227"/>
    <xdr:sp macro="" textlink="">
      <xdr:nvSpPr>
        <xdr:cNvPr id="2" name="CasellaDiTesto 1">
          <a:extLst>
            <a:ext uri="{FF2B5EF4-FFF2-40B4-BE49-F238E27FC236}">
              <a16:creationId xmlns:a16="http://schemas.microsoft.com/office/drawing/2014/main" id="{F906D062-8AC5-41F1-85C5-7EEB29B8D598}"/>
            </a:ext>
          </a:extLst>
        </xdr:cNvPr>
        <xdr:cNvSpPr txBox="1"/>
      </xdr:nvSpPr>
      <xdr:spPr>
        <a:xfrm>
          <a:off x="7296150" y="62150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3" name="CasellaDiTesto 2">
          <a:extLst>
            <a:ext uri="{FF2B5EF4-FFF2-40B4-BE49-F238E27FC236}">
              <a16:creationId xmlns:a16="http://schemas.microsoft.com/office/drawing/2014/main" id="{7F50E3EA-694A-468A-AA4A-981643696ABA}"/>
            </a:ext>
          </a:extLst>
        </xdr:cNvPr>
        <xdr:cNvSpPr txBox="1"/>
      </xdr:nvSpPr>
      <xdr:spPr>
        <a:xfrm>
          <a:off x="7296150" y="710088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4" name="CasellaDiTesto 3">
          <a:extLst>
            <a:ext uri="{FF2B5EF4-FFF2-40B4-BE49-F238E27FC236}">
              <a16:creationId xmlns:a16="http://schemas.microsoft.com/office/drawing/2014/main" id="{2C7AB32E-DFD9-4C18-B884-FE47DEB832DA}"/>
            </a:ext>
          </a:extLst>
        </xdr:cNvPr>
        <xdr:cNvSpPr txBox="1"/>
      </xdr:nvSpPr>
      <xdr:spPr>
        <a:xfrm>
          <a:off x="7296150" y="7986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3</xdr:col>
      <xdr:colOff>3943350</xdr:colOff>
      <xdr:row>5</xdr:row>
      <xdr:rowOff>0</xdr:rowOff>
    </xdr:from>
    <xdr:ext cx="65" cy="172227"/>
    <xdr:sp macro="" textlink="">
      <xdr:nvSpPr>
        <xdr:cNvPr id="5" name="CasellaDiTesto 4">
          <a:extLst>
            <a:ext uri="{FF2B5EF4-FFF2-40B4-BE49-F238E27FC236}">
              <a16:creationId xmlns:a16="http://schemas.microsoft.com/office/drawing/2014/main" id="{D92DC25D-9AFD-467F-8AB6-47D311B2F5E1}"/>
            </a:ext>
          </a:extLst>
        </xdr:cNvPr>
        <xdr:cNvSpPr txBox="1"/>
      </xdr:nvSpPr>
      <xdr:spPr>
        <a:xfrm>
          <a:off x="7296150" y="88725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twoCellAnchor>
    <xdr:from>
      <xdr:col>0</xdr:col>
      <xdr:colOff>133350</xdr:colOff>
      <xdr:row>0</xdr:row>
      <xdr:rowOff>57150</xdr:rowOff>
    </xdr:from>
    <xdr:to>
      <xdr:col>1</xdr:col>
      <xdr:colOff>1028700</xdr:colOff>
      <xdr:row>3</xdr:row>
      <xdr:rowOff>126113</xdr:rowOff>
    </xdr:to>
    <xdr:pic>
      <xdr:nvPicPr>
        <xdr:cNvPr id="6" name="Immagine 5" descr="M4_Logo">
          <a:extLst>
            <a:ext uri="{FF2B5EF4-FFF2-40B4-BE49-F238E27FC236}">
              <a16:creationId xmlns:a16="http://schemas.microsoft.com/office/drawing/2014/main" id="{DCC42F12-FC20-48F6-A105-F1F69BF8D5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57150"/>
          <a:ext cx="1038225" cy="640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7"/>
  <sheetViews>
    <sheetView showGridLines="0" zoomScale="75" zoomScaleNormal="75" workbookViewId="0">
      <pane ySplit="5" topLeftCell="A6" activePane="bottomLeft" state="frozen"/>
      <selection pane="bottomLeft" activeCell="B6" sqref="B6"/>
    </sheetView>
  </sheetViews>
  <sheetFormatPr defaultColWidth="20.7109375" defaultRowHeight="80.25" customHeight="1"/>
  <cols>
    <col min="1" max="1" width="4.42578125" style="9" bestFit="1" customWidth="1"/>
    <col min="2" max="2" width="25.5703125" customWidth="1"/>
    <col min="3" max="3" width="20.5703125" bestFit="1" customWidth="1"/>
    <col min="4" max="4" width="54.28515625" style="10" customWidth="1"/>
    <col min="5" max="5" width="20" style="9" customWidth="1"/>
    <col min="6" max="6" width="48.28515625" style="9" customWidth="1"/>
    <col min="7" max="7" width="41.5703125" style="26" customWidth="1"/>
    <col min="8" max="8" width="25.42578125" style="26" customWidth="1"/>
    <col min="9" max="9" width="14.28515625" style="26" customWidth="1"/>
    <col min="10" max="10" width="12.85546875" style="69" customWidth="1"/>
    <col min="11" max="11" width="28.42578125" style="20" bestFit="1" customWidth="1"/>
    <col min="12" max="12" width="24" customWidth="1"/>
    <col min="13" max="13" width="18.140625" customWidth="1"/>
  </cols>
  <sheetData>
    <row r="1" spans="1:13" ht="19.5"/>
    <row r="2" spans="1:13" ht="15">
      <c r="H2" s="125"/>
      <c r="I2" s="125"/>
      <c r="J2" s="135"/>
      <c r="K2" s="164"/>
      <c r="L2" s="164"/>
      <c r="M2" s="136"/>
    </row>
    <row r="3" spans="1:13" ht="15">
      <c r="C3" s="16"/>
      <c r="D3" s="16" t="s">
        <v>586</v>
      </c>
      <c r="H3" s="125"/>
      <c r="I3" s="125"/>
      <c r="J3" s="125"/>
      <c r="K3" s="125"/>
      <c r="L3" s="126"/>
      <c r="M3" s="126"/>
    </row>
    <row r="4" spans="1:13" ht="19.5"/>
    <row r="5" spans="1:13" ht="60">
      <c r="B5" s="6" t="s">
        <v>0</v>
      </c>
      <c r="C5" s="6" t="s">
        <v>81</v>
      </c>
      <c r="D5" s="6" t="s">
        <v>1</v>
      </c>
      <c r="E5" s="6" t="s">
        <v>2</v>
      </c>
      <c r="F5" s="6" t="s">
        <v>25</v>
      </c>
      <c r="G5" s="6" t="s">
        <v>84</v>
      </c>
      <c r="H5" s="6" t="s">
        <v>276</v>
      </c>
      <c r="I5" s="6" t="s">
        <v>277</v>
      </c>
      <c r="J5" s="81" t="s">
        <v>275</v>
      </c>
      <c r="K5" s="21" t="s">
        <v>587</v>
      </c>
      <c r="L5" s="21" t="s">
        <v>588</v>
      </c>
      <c r="M5" s="35" t="s">
        <v>145</v>
      </c>
    </row>
    <row r="6" spans="1:13" ht="99.95" customHeight="1">
      <c r="A6" s="9">
        <v>1</v>
      </c>
      <c r="B6" s="8" t="s">
        <v>79</v>
      </c>
      <c r="C6" s="14">
        <v>4157540966</v>
      </c>
      <c r="D6" s="4" t="s">
        <v>5</v>
      </c>
      <c r="E6" s="3">
        <v>42474</v>
      </c>
      <c r="F6" s="2" t="s">
        <v>3</v>
      </c>
      <c r="G6" s="5" t="s">
        <v>118</v>
      </c>
      <c r="H6" s="5"/>
      <c r="I6" s="37"/>
      <c r="J6" s="70"/>
      <c r="K6" s="51"/>
      <c r="L6" s="18">
        <v>34038</v>
      </c>
      <c r="M6" s="1" t="s">
        <v>143</v>
      </c>
    </row>
    <row r="7" spans="1:13" ht="99.95" customHeight="1">
      <c r="A7" s="9">
        <v>2</v>
      </c>
      <c r="B7" s="8" t="s">
        <v>10</v>
      </c>
      <c r="C7" s="14">
        <v>3049560166</v>
      </c>
      <c r="D7" s="5" t="s">
        <v>4</v>
      </c>
      <c r="E7" s="3">
        <v>42045</v>
      </c>
      <c r="F7" s="2" t="s">
        <v>6</v>
      </c>
      <c r="G7" s="4" t="s">
        <v>119</v>
      </c>
      <c r="H7" s="4"/>
      <c r="I7" s="46"/>
      <c r="J7" s="71"/>
      <c r="K7" s="52"/>
      <c r="L7" s="17">
        <f>68588+1409.1+17820+17887+1433+1062</f>
        <v>108199.1</v>
      </c>
      <c r="M7" s="1" t="s">
        <v>143</v>
      </c>
    </row>
    <row r="8" spans="1:13" ht="99.95" customHeight="1">
      <c r="A8" s="9">
        <v>3</v>
      </c>
      <c r="B8" s="8" t="s">
        <v>10</v>
      </c>
      <c r="C8" s="14">
        <v>3049560166</v>
      </c>
      <c r="D8" s="5" t="s">
        <v>52</v>
      </c>
      <c r="E8" s="3">
        <v>42781</v>
      </c>
      <c r="F8" s="2" t="s">
        <v>53</v>
      </c>
      <c r="G8" s="50" t="s">
        <v>197</v>
      </c>
      <c r="H8" s="50"/>
      <c r="I8" s="111"/>
      <c r="J8" s="72"/>
      <c r="K8" s="51"/>
      <c r="L8" s="18">
        <f>7686+7686</f>
        <v>15372</v>
      </c>
      <c r="M8" s="1" t="s">
        <v>143</v>
      </c>
    </row>
    <row r="9" spans="1:13" ht="99.95" customHeight="1">
      <c r="A9" s="9">
        <v>4</v>
      </c>
      <c r="B9" s="8" t="s">
        <v>10</v>
      </c>
      <c r="C9" s="14">
        <v>3049560166</v>
      </c>
      <c r="D9" s="4" t="s">
        <v>50</v>
      </c>
      <c r="E9" s="3">
        <v>42786</v>
      </c>
      <c r="F9" s="1" t="s">
        <v>51</v>
      </c>
      <c r="G9" s="4" t="s">
        <v>120</v>
      </c>
      <c r="H9" s="4"/>
      <c r="I9" s="46"/>
      <c r="J9" s="71"/>
      <c r="K9" s="52"/>
      <c r="L9" s="17"/>
      <c r="M9" s="36" t="s">
        <v>143</v>
      </c>
    </row>
    <row r="10" spans="1:13" ht="99.95" customHeight="1">
      <c r="A10" s="9">
        <v>5</v>
      </c>
      <c r="B10" s="8" t="s">
        <v>537</v>
      </c>
      <c r="C10" s="14">
        <v>4596040966</v>
      </c>
      <c r="D10" s="4" t="s">
        <v>8</v>
      </c>
      <c r="E10" s="3">
        <v>42564</v>
      </c>
      <c r="F10" s="1" t="s">
        <v>7</v>
      </c>
      <c r="G10" s="42" t="s">
        <v>121</v>
      </c>
      <c r="H10" s="83"/>
      <c r="I10" s="103"/>
      <c r="J10" s="79"/>
      <c r="K10" s="57"/>
      <c r="L10" s="19">
        <f>1141143.97+191636.24+284419.19+469975.05+133081.19+167374.66+47929.31+233261.83+24742.49+40458.93+13140.69+10259.17+9899.66+50954.75+2350.27+27573.76+188875.87+16284.87+9610.75+47458.21+8454.58+8697.3</f>
        <v>3127582.7400000007</v>
      </c>
      <c r="M10" s="36" t="s">
        <v>142</v>
      </c>
    </row>
    <row r="11" spans="1:13" ht="99.95" customHeight="1">
      <c r="A11" s="9">
        <v>6</v>
      </c>
      <c r="B11" s="8" t="s">
        <v>11</v>
      </c>
      <c r="C11" s="14">
        <v>4596040966</v>
      </c>
      <c r="D11" s="4" t="s">
        <v>16</v>
      </c>
      <c r="E11" s="3">
        <v>42614</v>
      </c>
      <c r="F11" s="1" t="s">
        <v>15</v>
      </c>
      <c r="G11" s="4" t="s">
        <v>15</v>
      </c>
      <c r="H11" s="4"/>
      <c r="I11" s="46"/>
      <c r="J11" s="71"/>
      <c r="K11" s="54"/>
      <c r="L11" s="22"/>
      <c r="M11" s="36" t="s">
        <v>142</v>
      </c>
    </row>
    <row r="12" spans="1:13" ht="99.95" customHeight="1">
      <c r="A12" s="9">
        <v>7</v>
      </c>
      <c r="B12" s="8" t="s">
        <v>14</v>
      </c>
      <c r="C12" s="14">
        <v>4596040966</v>
      </c>
      <c r="D12" s="4" t="s">
        <v>19</v>
      </c>
      <c r="E12" s="3">
        <v>42605</v>
      </c>
      <c r="F12" s="1" t="s">
        <v>15</v>
      </c>
      <c r="G12" s="4" t="s">
        <v>15</v>
      </c>
      <c r="H12" s="4"/>
      <c r="I12" s="46"/>
      <c r="J12" s="71"/>
      <c r="K12" s="54"/>
      <c r="L12" s="22"/>
      <c r="M12" s="36" t="s">
        <v>142</v>
      </c>
    </row>
    <row r="13" spans="1:13" ht="99.95" customHeight="1">
      <c r="A13" s="9">
        <v>8</v>
      </c>
      <c r="B13" s="8" t="s">
        <v>12</v>
      </c>
      <c r="C13" s="14">
        <v>4596040966</v>
      </c>
      <c r="D13" s="4" t="s">
        <v>17</v>
      </c>
      <c r="E13" s="3">
        <v>42565</v>
      </c>
      <c r="F13" s="1" t="s">
        <v>15</v>
      </c>
      <c r="G13" s="4" t="s">
        <v>15</v>
      </c>
      <c r="H13" s="4"/>
      <c r="I13" s="46"/>
      <c r="J13" s="71"/>
      <c r="K13" s="54"/>
      <c r="L13" s="22"/>
      <c r="M13" s="36" t="s">
        <v>142</v>
      </c>
    </row>
    <row r="14" spans="1:13" ht="99.95" customHeight="1">
      <c r="A14" s="9">
        <v>9</v>
      </c>
      <c r="B14" s="8" t="s">
        <v>13</v>
      </c>
      <c r="C14" s="14">
        <v>4596040966</v>
      </c>
      <c r="D14" s="4" t="s">
        <v>18</v>
      </c>
      <c r="E14" s="3">
        <v>42605</v>
      </c>
      <c r="F14" s="1" t="s">
        <v>15</v>
      </c>
      <c r="G14" s="4" t="s">
        <v>15</v>
      </c>
      <c r="H14" s="4"/>
      <c r="I14" s="46"/>
      <c r="J14" s="71"/>
      <c r="K14" s="54"/>
      <c r="L14" s="22"/>
      <c r="M14" s="36" t="s">
        <v>142</v>
      </c>
    </row>
    <row r="15" spans="1:13" ht="99.95" customHeight="1">
      <c r="A15" s="9">
        <v>10</v>
      </c>
      <c r="B15" s="8" t="s">
        <v>60</v>
      </c>
      <c r="C15" s="14">
        <v>4596040966</v>
      </c>
      <c r="D15" s="4" t="s">
        <v>61</v>
      </c>
      <c r="E15" s="3">
        <v>42774</v>
      </c>
      <c r="F15" s="1" t="s">
        <v>62</v>
      </c>
      <c r="G15" s="5" t="s">
        <v>63</v>
      </c>
      <c r="H15" s="5"/>
      <c r="I15" s="37"/>
      <c r="J15" s="70"/>
      <c r="K15" s="55"/>
      <c r="L15" s="13"/>
      <c r="M15" s="36" t="s">
        <v>142</v>
      </c>
    </row>
    <row r="16" spans="1:13" ht="99.95" customHeight="1">
      <c r="A16" s="9">
        <v>11</v>
      </c>
      <c r="B16" s="8" t="s">
        <v>60</v>
      </c>
      <c r="C16" s="14">
        <v>4596040966</v>
      </c>
      <c r="D16" s="4" t="s">
        <v>64</v>
      </c>
      <c r="E16" s="3">
        <v>42793</v>
      </c>
      <c r="F16" s="1" t="s">
        <v>62</v>
      </c>
      <c r="G16" s="5" t="s">
        <v>65</v>
      </c>
      <c r="H16" s="5"/>
      <c r="I16" s="37"/>
      <c r="J16" s="70"/>
      <c r="K16" s="55"/>
      <c r="L16" s="13"/>
      <c r="M16" s="36" t="s">
        <v>142</v>
      </c>
    </row>
    <row r="17" spans="1:13" ht="99.95" customHeight="1">
      <c r="A17" s="9">
        <v>12</v>
      </c>
      <c r="B17" s="8" t="s">
        <v>20</v>
      </c>
      <c r="C17" s="14">
        <v>2309220602</v>
      </c>
      <c r="D17" s="4" t="s">
        <v>329</v>
      </c>
      <c r="E17" s="12" t="s">
        <v>363</v>
      </c>
      <c r="F17" s="3">
        <v>44316</v>
      </c>
      <c r="G17" s="45" t="s">
        <v>454</v>
      </c>
      <c r="H17" s="93"/>
      <c r="I17" s="94"/>
      <c r="J17" s="68"/>
      <c r="K17" s="53"/>
      <c r="L17" s="13">
        <f>337339.76+19646.88+19921+12012+53130+61218+18018+70290+23870+14113+14872+37466+27412+34166+32461+17424</f>
        <v>793359.64</v>
      </c>
      <c r="M17" s="36" t="s">
        <v>142</v>
      </c>
    </row>
    <row r="18" spans="1:13" ht="99.95" customHeight="1">
      <c r="A18" s="9">
        <v>13</v>
      </c>
      <c r="B18" s="7" t="s">
        <v>105</v>
      </c>
      <c r="C18" s="14">
        <v>2309220602</v>
      </c>
      <c r="D18" s="4" t="s">
        <v>455</v>
      </c>
      <c r="E18" s="24">
        <v>41942</v>
      </c>
      <c r="F18" s="3">
        <v>44316</v>
      </c>
      <c r="G18" s="91" t="s">
        <v>282</v>
      </c>
      <c r="H18" s="97"/>
      <c r="I18" s="94"/>
      <c r="J18" s="68"/>
      <c r="K18" s="53"/>
      <c r="L18" s="13">
        <f>401029.86+32615+58002.25+13365+564.79+32905+1074.82+48741+32615+36773+45034+19206+34792.8+68047.8+828.07+45823+20909.2+1381.49+25213.8+27346.9+1365.62</f>
        <v>947634.39999999991</v>
      </c>
      <c r="M18" s="36" t="s">
        <v>142</v>
      </c>
    </row>
    <row r="19" spans="1:13" ht="99.95" customHeight="1">
      <c r="A19" s="9">
        <v>14</v>
      </c>
      <c r="B19" s="41" t="s">
        <v>80</v>
      </c>
      <c r="C19" s="14">
        <v>1742310152</v>
      </c>
      <c r="D19" s="4" t="s">
        <v>21</v>
      </c>
      <c r="E19" s="3"/>
      <c r="F19" s="12" t="s">
        <v>165</v>
      </c>
      <c r="G19" s="43" t="s">
        <v>166</v>
      </c>
      <c r="H19" s="43"/>
      <c r="I19" s="96"/>
      <c r="J19" s="68"/>
      <c r="K19" s="53"/>
      <c r="L19" s="13">
        <v>283140</v>
      </c>
      <c r="M19" s="1" t="s">
        <v>143</v>
      </c>
    </row>
    <row r="20" spans="1:13" ht="99.95" customHeight="1">
      <c r="A20" s="9">
        <v>15</v>
      </c>
      <c r="B20" s="7" t="s">
        <v>23</v>
      </c>
      <c r="C20" s="14">
        <v>1699520159</v>
      </c>
      <c r="D20" s="4" t="s">
        <v>22</v>
      </c>
      <c r="E20" s="3">
        <v>42222</v>
      </c>
      <c r="F20" s="11"/>
      <c r="G20" s="44" t="s">
        <v>114</v>
      </c>
      <c r="H20" s="44"/>
      <c r="I20" s="112"/>
      <c r="J20" s="74"/>
      <c r="K20" s="56"/>
      <c r="L20" s="13">
        <v>9760</v>
      </c>
      <c r="M20" s="36" t="s">
        <v>143</v>
      </c>
    </row>
    <row r="21" spans="1:13" ht="99.95" customHeight="1">
      <c r="A21" s="9">
        <v>16</v>
      </c>
      <c r="B21" s="7" t="s">
        <v>26</v>
      </c>
      <c r="C21" s="14">
        <v>8146570018</v>
      </c>
      <c r="D21" s="4" t="s">
        <v>24</v>
      </c>
      <c r="E21" s="3">
        <v>42209</v>
      </c>
      <c r="F21" s="3">
        <v>44926</v>
      </c>
      <c r="G21" s="4" t="s">
        <v>527</v>
      </c>
      <c r="H21" s="4"/>
      <c r="I21" s="12"/>
      <c r="J21" s="68"/>
      <c r="K21" s="52"/>
      <c r="L21" s="13">
        <f>211565.08+70000+35000+35000+17500+52500+54000+54000+18000+18500+55500+18500+18500+19000+19000+19000+19000+19000</f>
        <v>753565.08</v>
      </c>
      <c r="M21" s="36" t="s">
        <v>142</v>
      </c>
    </row>
    <row r="22" spans="1:13" ht="99.95" customHeight="1">
      <c r="A22" s="9">
        <v>17</v>
      </c>
      <c r="B22" s="8" t="s">
        <v>28</v>
      </c>
      <c r="C22" s="14">
        <v>7583180968</v>
      </c>
      <c r="D22" s="4" t="s">
        <v>27</v>
      </c>
      <c r="E22" s="24">
        <v>42594</v>
      </c>
      <c r="F22" s="3">
        <v>42958</v>
      </c>
      <c r="G22" s="84" t="s">
        <v>117</v>
      </c>
      <c r="H22" s="101"/>
      <c r="I22" s="113"/>
      <c r="J22" s="90"/>
      <c r="K22" s="51"/>
      <c r="L22" s="13">
        <f>80095.87+13938.22+89650.94+25065.6</f>
        <v>208750.63</v>
      </c>
      <c r="M22" s="1" t="s">
        <v>143</v>
      </c>
    </row>
    <row r="23" spans="1:13" ht="99.95" customHeight="1">
      <c r="A23" s="9">
        <v>18</v>
      </c>
      <c r="B23" s="8" t="s">
        <v>111</v>
      </c>
      <c r="C23" s="14">
        <v>3301630962</v>
      </c>
      <c r="D23" s="4" t="s">
        <v>112</v>
      </c>
      <c r="E23" s="3">
        <v>42795</v>
      </c>
      <c r="F23" s="3">
        <v>42855</v>
      </c>
      <c r="G23" s="4" t="s">
        <v>113</v>
      </c>
      <c r="H23" s="4"/>
      <c r="I23" s="46"/>
      <c r="J23" s="71"/>
      <c r="K23" s="52"/>
      <c r="L23" s="13">
        <f>48850.705+15666.08</f>
        <v>64516.785000000003</v>
      </c>
      <c r="M23" s="1" t="s">
        <v>143</v>
      </c>
    </row>
    <row r="24" spans="1:13" ht="99.95" customHeight="1">
      <c r="A24" s="9">
        <v>19</v>
      </c>
      <c r="B24" s="8" t="s">
        <v>66</v>
      </c>
      <c r="C24" s="14">
        <v>3470730288</v>
      </c>
      <c r="D24" s="4" t="s">
        <v>29</v>
      </c>
      <c r="E24" s="3">
        <v>42629</v>
      </c>
      <c r="F24" s="3">
        <v>43723</v>
      </c>
      <c r="G24" s="43" t="s">
        <v>116</v>
      </c>
      <c r="H24" s="43"/>
      <c r="I24" s="96"/>
      <c r="J24" s="68"/>
      <c r="K24" s="53"/>
      <c r="L24" s="13">
        <f>72590+6138.85+555+1192.5+2000+16000+480+1560+500+2000+384+730+1680+2000+250+2000+3840+5160+2000+16000+2000+1185+250+2000+6288.75+2000+250+2000+2000+500+3460.8+2000+399.75+2000</f>
        <v>163394.65</v>
      </c>
      <c r="M24" s="36" t="s">
        <v>143</v>
      </c>
    </row>
    <row r="25" spans="1:13" ht="99.95" customHeight="1">
      <c r="A25" s="9">
        <v>20</v>
      </c>
      <c r="B25" s="8" t="s">
        <v>38</v>
      </c>
      <c r="C25" s="14">
        <v>4794050585</v>
      </c>
      <c r="D25" s="4" t="s">
        <v>30</v>
      </c>
      <c r="E25" s="3">
        <v>42488</v>
      </c>
      <c r="F25" s="3">
        <v>42853</v>
      </c>
      <c r="G25" s="42" t="s">
        <v>115</v>
      </c>
      <c r="H25" s="43"/>
      <c r="I25" s="96"/>
      <c r="J25" s="43"/>
      <c r="K25" s="53"/>
      <c r="L25" s="13">
        <v>59224.55</v>
      </c>
      <c r="M25" s="1" t="s">
        <v>143</v>
      </c>
    </row>
    <row r="26" spans="1:13" ht="99.95" customHeight="1">
      <c r="A26" s="9">
        <v>21</v>
      </c>
      <c r="B26" s="8" t="s">
        <v>36</v>
      </c>
      <c r="C26" s="14">
        <v>9730271005</v>
      </c>
      <c r="D26" s="4" t="s">
        <v>31</v>
      </c>
      <c r="E26" s="3">
        <v>42209</v>
      </c>
      <c r="F26" s="12" t="s">
        <v>32</v>
      </c>
      <c r="G26" s="45" t="s">
        <v>233</v>
      </c>
      <c r="H26" s="45" t="s">
        <v>629</v>
      </c>
      <c r="I26" s="12">
        <v>44740</v>
      </c>
      <c r="J26" s="75" t="s">
        <v>557</v>
      </c>
      <c r="K26" s="52">
        <v>68937.600000000006</v>
      </c>
      <c r="L26" s="13">
        <f>45958.4+57448+48807.82+11489.7+54180+22517.21+72136.3+68937.6+68937.6+68937.6+68937.6+24417.7+80427.2+59843.59+68937.6</f>
        <v>821913.91999999981</v>
      </c>
      <c r="M26" s="36" t="s">
        <v>142</v>
      </c>
    </row>
    <row r="27" spans="1:13" ht="99.95" customHeight="1">
      <c r="A27" s="9">
        <v>22</v>
      </c>
      <c r="B27" s="8" t="s">
        <v>35</v>
      </c>
      <c r="C27" s="14">
        <v>13366030156</v>
      </c>
      <c r="D27" s="4" t="s">
        <v>44</v>
      </c>
      <c r="E27" s="3">
        <v>43133</v>
      </c>
      <c r="F27" s="3">
        <v>43159</v>
      </c>
      <c r="G27" s="42" t="s">
        <v>33</v>
      </c>
      <c r="H27" s="42"/>
      <c r="I27" s="96"/>
      <c r="J27" s="73"/>
      <c r="K27" s="53"/>
      <c r="L27" s="13">
        <f>17226.39+8423.59+4579.56+4334.8+2795.24+4570.04+3810.4+4670.61+3805.48+3923.32+4111</f>
        <v>62250.430000000008</v>
      </c>
      <c r="M27" s="1" t="s">
        <v>143</v>
      </c>
    </row>
    <row r="28" spans="1:13" ht="99.95" customHeight="1">
      <c r="A28" s="9">
        <v>23</v>
      </c>
      <c r="B28" s="8" t="s">
        <v>35</v>
      </c>
      <c r="C28" s="14">
        <v>13366030156</v>
      </c>
      <c r="D28" s="4" t="s">
        <v>136</v>
      </c>
      <c r="E28" s="3">
        <v>42782</v>
      </c>
      <c r="F28" s="3">
        <v>43084</v>
      </c>
      <c r="G28" s="42" t="s">
        <v>43</v>
      </c>
      <c r="H28" s="42"/>
      <c r="I28" s="96"/>
      <c r="J28" s="73"/>
      <c r="K28" s="53"/>
      <c r="L28" s="13">
        <f>19433.05+11000.39+5348.97+4819.96+3870.18+4494.64+5373.32+1688.71</f>
        <v>56029.219999999994</v>
      </c>
      <c r="M28" s="1" t="s">
        <v>146</v>
      </c>
    </row>
    <row r="29" spans="1:13" ht="99.95" customHeight="1">
      <c r="A29" s="9">
        <v>24</v>
      </c>
      <c r="B29" s="8" t="s">
        <v>34</v>
      </c>
      <c r="C29" s="14">
        <v>830660155</v>
      </c>
      <c r="D29" s="4" t="s">
        <v>45</v>
      </c>
      <c r="E29" s="3">
        <v>43089</v>
      </c>
      <c r="F29" s="3">
        <v>43465</v>
      </c>
      <c r="G29" s="4" t="s">
        <v>37</v>
      </c>
      <c r="H29" s="4"/>
      <c r="I29" s="12"/>
      <c r="J29" s="71"/>
      <c r="K29" s="52"/>
      <c r="L29" s="52">
        <f>5819+5759</f>
        <v>11578</v>
      </c>
      <c r="M29" s="1" t="s">
        <v>143</v>
      </c>
    </row>
    <row r="30" spans="1:13" ht="99.95" customHeight="1">
      <c r="A30" s="9">
        <v>25</v>
      </c>
      <c r="B30" s="8" t="s">
        <v>41</v>
      </c>
      <c r="C30" s="14">
        <v>11274970158</v>
      </c>
      <c r="D30" s="4" t="s">
        <v>39</v>
      </c>
      <c r="E30" s="3">
        <v>43818</v>
      </c>
      <c r="F30" s="12" t="s">
        <v>320</v>
      </c>
      <c r="G30" s="4" t="s">
        <v>40</v>
      </c>
      <c r="H30" s="4"/>
      <c r="I30" s="46"/>
      <c r="J30" s="71"/>
      <c r="K30" s="54"/>
      <c r="L30" s="22"/>
      <c r="M30" s="36" t="s">
        <v>142</v>
      </c>
    </row>
    <row r="31" spans="1:13" ht="99.95" customHeight="1">
      <c r="A31" s="9">
        <v>26</v>
      </c>
      <c r="B31" s="8" t="s">
        <v>273</v>
      </c>
      <c r="C31" s="25" t="s">
        <v>269</v>
      </c>
      <c r="D31" s="4" t="s">
        <v>42</v>
      </c>
      <c r="E31" s="12">
        <v>42663</v>
      </c>
      <c r="F31" s="12" t="s">
        <v>68</v>
      </c>
      <c r="G31" s="37" t="s">
        <v>67</v>
      </c>
      <c r="H31" s="37"/>
      <c r="I31" s="37"/>
      <c r="J31" s="76"/>
      <c r="K31" s="51"/>
      <c r="L31" s="13">
        <f>3748.28+3092.04</f>
        <v>6840.32</v>
      </c>
      <c r="M31" s="36" t="s">
        <v>143</v>
      </c>
    </row>
    <row r="32" spans="1:13" ht="99.95" customHeight="1">
      <c r="A32" s="9">
        <v>27</v>
      </c>
      <c r="B32" s="8" t="s">
        <v>46</v>
      </c>
      <c r="C32" s="25" t="s">
        <v>82</v>
      </c>
      <c r="D32" s="4" t="s">
        <v>47</v>
      </c>
      <c r="E32" s="12">
        <v>42782</v>
      </c>
      <c r="F32" s="12" t="s">
        <v>48</v>
      </c>
      <c r="G32" s="46" t="s">
        <v>49</v>
      </c>
      <c r="H32" s="46"/>
      <c r="I32" s="46"/>
      <c r="J32" s="77"/>
      <c r="K32" s="52"/>
      <c r="L32" s="13"/>
      <c r="M32" s="36" t="s">
        <v>142</v>
      </c>
    </row>
    <row r="33" spans="1:13" ht="99.95" customHeight="1">
      <c r="A33" s="9">
        <v>28</v>
      </c>
      <c r="B33" s="8" t="s">
        <v>55</v>
      </c>
      <c r="C33" s="14">
        <v>97081660157</v>
      </c>
      <c r="D33" s="4" t="s">
        <v>54</v>
      </c>
      <c r="E33" s="12">
        <v>42338</v>
      </c>
      <c r="F33" s="12" t="s">
        <v>223</v>
      </c>
      <c r="G33" s="47" t="s">
        <v>69</v>
      </c>
      <c r="H33" s="47"/>
      <c r="I33" s="95"/>
      <c r="J33" s="78"/>
      <c r="K33" s="51"/>
      <c r="L33" s="13">
        <f>9871.02+1645.17+1348.5+1348.5+1348.5+1348.5+1348.5</f>
        <v>18258.690000000002</v>
      </c>
      <c r="M33" s="36" t="s">
        <v>143</v>
      </c>
    </row>
    <row r="34" spans="1:13" ht="99.95" customHeight="1">
      <c r="A34" s="9">
        <v>29</v>
      </c>
      <c r="B34" s="8" t="s">
        <v>56</v>
      </c>
      <c r="C34" s="25" t="s">
        <v>83</v>
      </c>
      <c r="D34" s="4" t="s">
        <v>57</v>
      </c>
      <c r="E34" s="31" t="s">
        <v>364</v>
      </c>
      <c r="F34" s="31" t="s">
        <v>333</v>
      </c>
      <c r="G34" s="121">
        <f>163981.4+163981.4</f>
        <v>327962.8</v>
      </c>
      <c r="H34" s="48"/>
      <c r="I34" s="95"/>
      <c r="J34" s="79"/>
      <c r="K34" s="51">
        <f>4293.73+4293.73+4293.73</f>
        <v>12881.189999999999</v>
      </c>
      <c r="L34" s="13">
        <f>5264.67+10529.34+5264.67+4315.3+4315.3+4315.3+4315.3+4315.3+4315.3+4315.3+4315.3+4315.3+4315.3+4315.3+4315.3+4315.3+4315.3+4315.3+4315.3+4315.3+4315.3+4315.3+4315.3+4315.3+4315.3+4315.3+4315.3+4315.3+4315.3+4315.3+4315.3+4315.3+3560.13+4293.73+4293.73+4293.73+4293.73+4293.73+4293.73+4293.73+4293.73+4293.73+4293.73+4293.73+4293.73+4293.73+4293.73+4293.73+4293.73+4293.73+4293.73+4293.73+4293.73+4293.73+4293.73+4293.73+4293.73+4293.73+4293.73</f>
        <v>261399.49000000031</v>
      </c>
      <c r="M34" s="36" t="s">
        <v>142</v>
      </c>
    </row>
    <row r="35" spans="1:13" ht="99.95" customHeight="1">
      <c r="A35" s="9">
        <v>30</v>
      </c>
      <c r="B35" s="8" t="s">
        <v>59</v>
      </c>
      <c r="C35" s="14">
        <v>7739320963</v>
      </c>
      <c r="D35" s="4" t="s">
        <v>58</v>
      </c>
      <c r="E35" s="12">
        <v>42383</v>
      </c>
      <c r="F35" s="12">
        <v>43113</v>
      </c>
      <c r="G35" s="48" t="s">
        <v>70</v>
      </c>
      <c r="H35" s="48"/>
      <c r="I35" s="95"/>
      <c r="J35" s="79"/>
      <c r="K35" s="51"/>
      <c r="L35" s="13">
        <f>22999.95+3066.66+1533.33+1533.33+1533.33+1533.33+1533.33+1533.33</f>
        <v>35266.590000000011</v>
      </c>
      <c r="M35" s="1" t="s">
        <v>143</v>
      </c>
    </row>
    <row r="36" spans="1:13" ht="99.95" customHeight="1">
      <c r="A36" s="9">
        <v>31</v>
      </c>
      <c r="B36" s="8" t="s">
        <v>71</v>
      </c>
      <c r="C36" s="25" t="s">
        <v>164</v>
      </c>
      <c r="D36" s="4" t="s">
        <v>73</v>
      </c>
      <c r="E36" s="12">
        <v>42129</v>
      </c>
      <c r="F36" s="12" t="s">
        <v>72</v>
      </c>
      <c r="G36" s="37" t="s">
        <v>74</v>
      </c>
      <c r="H36" s="37"/>
      <c r="I36" s="37"/>
      <c r="J36" s="76"/>
      <c r="K36" s="51"/>
      <c r="L36" s="13">
        <f>166496.65+393838.44+41839.49+49546.07</f>
        <v>651720.64999999991</v>
      </c>
      <c r="M36" s="1" t="s">
        <v>210</v>
      </c>
    </row>
    <row r="37" spans="1:13" ht="99.95" customHeight="1">
      <c r="A37" s="9">
        <v>32</v>
      </c>
      <c r="B37" s="8" t="s">
        <v>75</v>
      </c>
      <c r="C37" s="14">
        <v>10527000151</v>
      </c>
      <c r="D37" s="4" t="s">
        <v>76</v>
      </c>
      <c r="E37" s="12">
        <v>42272</v>
      </c>
      <c r="F37" s="12" t="s">
        <v>78</v>
      </c>
      <c r="G37" s="37" t="s">
        <v>77</v>
      </c>
      <c r="H37" s="37"/>
      <c r="I37" s="37"/>
      <c r="J37" s="76"/>
      <c r="K37" s="51"/>
      <c r="L37" s="13">
        <f>20015.13+6930</f>
        <v>26945.13</v>
      </c>
      <c r="M37" s="1" t="s">
        <v>143</v>
      </c>
    </row>
    <row r="38" spans="1:13" ht="99.95" customHeight="1">
      <c r="A38" s="9">
        <v>33</v>
      </c>
      <c r="B38" s="8" t="s">
        <v>358</v>
      </c>
      <c r="C38" s="25" t="s">
        <v>87</v>
      </c>
      <c r="D38" s="4" t="s">
        <v>90</v>
      </c>
      <c r="E38" s="12">
        <v>42795</v>
      </c>
      <c r="F38" s="12" t="s">
        <v>93</v>
      </c>
      <c r="G38" s="48">
        <f>14000+14000*15%+14000*4%</f>
        <v>16660</v>
      </c>
      <c r="H38" s="48"/>
      <c r="I38" s="95"/>
      <c r="J38" s="79"/>
      <c r="K38" s="51"/>
      <c r="L38" s="13">
        <f>13524+1449</f>
        <v>14973</v>
      </c>
      <c r="M38" s="1" t="s">
        <v>143</v>
      </c>
    </row>
    <row r="39" spans="1:13" ht="99.95" customHeight="1">
      <c r="A39" s="9">
        <v>34</v>
      </c>
      <c r="B39" s="8" t="s">
        <v>85</v>
      </c>
      <c r="C39" s="25" t="s">
        <v>88</v>
      </c>
      <c r="D39" s="4" t="s">
        <v>91</v>
      </c>
      <c r="E39" s="12">
        <v>42825</v>
      </c>
      <c r="F39" s="12" t="s">
        <v>94</v>
      </c>
      <c r="G39" s="87" t="s">
        <v>95</v>
      </c>
      <c r="H39" s="79"/>
      <c r="I39" s="114"/>
      <c r="J39" s="79"/>
      <c r="K39" s="51">
        <f>750+100+525</f>
        <v>1375</v>
      </c>
      <c r="L39" s="13">
        <f>1777.54+750+600+600+1000+750+449+400+750+355+750+750+250+775+62.5+750+750+120+50+750+100+525</f>
        <v>13064.04</v>
      </c>
      <c r="M39" s="36" t="s">
        <v>142</v>
      </c>
    </row>
    <row r="40" spans="1:13" ht="99.95" customHeight="1">
      <c r="A40" s="9">
        <v>35</v>
      </c>
      <c r="B40" s="8" t="s">
        <v>86</v>
      </c>
      <c r="C40" s="15" t="s">
        <v>89</v>
      </c>
      <c r="D40" s="30" t="s">
        <v>92</v>
      </c>
      <c r="E40" s="31">
        <v>42851</v>
      </c>
      <c r="F40" s="12" t="s">
        <v>495</v>
      </c>
      <c r="G40" s="13" t="s">
        <v>496</v>
      </c>
      <c r="H40" s="36"/>
      <c r="I40" s="119"/>
      <c r="J40" s="68"/>
      <c r="K40" s="51"/>
      <c r="L40" s="13">
        <f>9109.74+10500+10500+10500+10500+10500+10500+10500+10500+10500+10500+10500+10500+10500+10500+12000+12000+12000</f>
        <v>192109.74</v>
      </c>
      <c r="M40" s="36" t="s">
        <v>142</v>
      </c>
    </row>
    <row r="41" spans="1:13" ht="99.95" customHeight="1">
      <c r="A41" s="9">
        <v>36</v>
      </c>
      <c r="B41" s="8" t="s">
        <v>96</v>
      </c>
      <c r="C41" s="25">
        <v>13325521006</v>
      </c>
      <c r="D41" s="4" t="s">
        <v>147</v>
      </c>
      <c r="E41" s="12">
        <v>42866</v>
      </c>
      <c r="F41" s="12" t="s">
        <v>97</v>
      </c>
      <c r="G41" s="87" t="s">
        <v>148</v>
      </c>
      <c r="H41" s="13"/>
      <c r="I41" s="115"/>
      <c r="J41" s="79"/>
      <c r="K41" s="51"/>
      <c r="L41" s="13">
        <f>25740+15444</f>
        <v>41184</v>
      </c>
      <c r="M41" s="36" t="s">
        <v>142</v>
      </c>
    </row>
    <row r="42" spans="1:13" ht="99.95" customHeight="1">
      <c r="A42" s="9">
        <v>37</v>
      </c>
      <c r="B42" s="8" t="s">
        <v>80</v>
      </c>
      <c r="C42" s="14">
        <v>1742310152</v>
      </c>
      <c r="D42" s="4" t="s">
        <v>21</v>
      </c>
      <c r="E42" s="3">
        <v>42881</v>
      </c>
      <c r="F42" s="12" t="s">
        <v>195</v>
      </c>
      <c r="G42" s="83" t="s">
        <v>196</v>
      </c>
      <c r="H42" s="83"/>
      <c r="I42" s="46"/>
      <c r="J42" s="68"/>
      <c r="K42" s="51"/>
      <c r="L42" s="13">
        <f>915478.24+457739.12+228869.57+114434.78+114434.75</f>
        <v>1830956.46</v>
      </c>
      <c r="M42" s="1" t="s">
        <v>143</v>
      </c>
    </row>
    <row r="43" spans="1:13" ht="99.95" customHeight="1">
      <c r="A43" s="9">
        <v>38</v>
      </c>
      <c r="B43" s="8" t="s">
        <v>98</v>
      </c>
      <c r="C43" s="25">
        <v>10495590159</v>
      </c>
      <c r="D43" s="4" t="s">
        <v>99</v>
      </c>
      <c r="E43" s="12">
        <v>42914</v>
      </c>
      <c r="F43" s="12" t="s">
        <v>100</v>
      </c>
      <c r="G43" s="49">
        <v>240</v>
      </c>
      <c r="H43" s="49"/>
      <c r="I43" s="95"/>
      <c r="J43" s="80"/>
      <c r="K43" s="51"/>
      <c r="L43" s="13">
        <f>120+240+243.36+243.36</f>
        <v>846.72</v>
      </c>
      <c r="M43" s="36" t="s">
        <v>142</v>
      </c>
    </row>
    <row r="44" spans="1:13" ht="99.95" customHeight="1">
      <c r="A44" s="9">
        <v>39</v>
      </c>
      <c r="B44" s="8" t="s">
        <v>80</v>
      </c>
      <c r="C44" s="25" t="s">
        <v>101</v>
      </c>
      <c r="D44" s="4" t="s">
        <v>102</v>
      </c>
      <c r="E44" s="24">
        <v>42956</v>
      </c>
      <c r="F44" s="12" t="s">
        <v>103</v>
      </c>
      <c r="G44" s="89" t="s">
        <v>104</v>
      </c>
      <c r="H44" s="109" t="s">
        <v>623</v>
      </c>
      <c r="I44" s="108">
        <v>44735</v>
      </c>
      <c r="J44" s="128" t="s">
        <v>557</v>
      </c>
      <c r="K44" s="51">
        <f>365599.71+415336.64</f>
        <v>780936.35000000009</v>
      </c>
      <c r="L44" s="13">
        <f>1077740.69+1849690.6+434572.12+390054.64+373612.75+460172.68+302538.86+44710.78+464541.04+354849.87+461059.65+418275.51+360759.48+372427.29+358557.82+422039.95+365599.71+415336.64</f>
        <v>8926540.0800000038</v>
      </c>
      <c r="M44" s="36" t="s">
        <v>142</v>
      </c>
    </row>
    <row r="45" spans="1:13" ht="99.95" customHeight="1">
      <c r="A45" s="9">
        <v>40</v>
      </c>
      <c r="B45" s="8" t="s">
        <v>122</v>
      </c>
      <c r="C45" s="25">
        <v>3380410104</v>
      </c>
      <c r="D45" s="4" t="s">
        <v>123</v>
      </c>
      <c r="E45" s="12">
        <v>42923</v>
      </c>
      <c r="F45" s="12" t="s">
        <v>109</v>
      </c>
      <c r="G45" s="13" t="s">
        <v>231</v>
      </c>
      <c r="H45" s="13"/>
      <c r="I45" s="115"/>
      <c r="J45" s="79"/>
      <c r="K45" s="51"/>
      <c r="L45" s="13">
        <f>2575+2575+12800+2575+2575+2575+2575+2575+2575+2575+2575+2575+2575</f>
        <v>43700</v>
      </c>
      <c r="M45" s="36" t="s">
        <v>143</v>
      </c>
    </row>
    <row r="46" spans="1:13" ht="99.95" customHeight="1">
      <c r="A46" s="9">
        <v>41</v>
      </c>
      <c r="B46" s="8" t="s">
        <v>106</v>
      </c>
      <c r="C46" s="25" t="s">
        <v>107</v>
      </c>
      <c r="D46" s="4" t="s">
        <v>108</v>
      </c>
      <c r="E46" s="12">
        <v>42900</v>
      </c>
      <c r="F46" s="12" t="s">
        <v>109</v>
      </c>
      <c r="G46" s="82" t="s">
        <v>110</v>
      </c>
      <c r="H46" s="82"/>
      <c r="I46" s="96"/>
      <c r="J46" s="79"/>
      <c r="K46" s="29"/>
      <c r="L46" s="29">
        <f>3125+3125+3141+1041.67+3125+3125+3125+3125+3125+3125+3125+3125</f>
        <v>35432.67</v>
      </c>
      <c r="M46" s="36" t="s">
        <v>143</v>
      </c>
    </row>
    <row r="47" spans="1:13" ht="99.95" customHeight="1">
      <c r="A47" s="9">
        <v>42</v>
      </c>
      <c r="B47" s="8" t="s">
        <v>111</v>
      </c>
      <c r="C47" s="14">
        <v>3301630962</v>
      </c>
      <c r="D47" s="28" t="s">
        <v>112</v>
      </c>
      <c r="E47" s="12">
        <v>43005</v>
      </c>
      <c r="F47" s="12" t="s">
        <v>109</v>
      </c>
      <c r="G47" s="4" t="s">
        <v>124</v>
      </c>
      <c r="H47" s="4"/>
      <c r="I47" s="96"/>
      <c r="J47" s="68"/>
      <c r="K47" s="29"/>
      <c r="L47" s="13">
        <f>9832.14+9544.5+12144.24+12144.22+12144.24+12144.24+12144.24+12144.24+12144.24+15885.04+12144.24</f>
        <v>132415.58000000002</v>
      </c>
      <c r="M47" s="1" t="s">
        <v>143</v>
      </c>
    </row>
    <row r="48" spans="1:13" ht="99.95" customHeight="1">
      <c r="A48" s="9">
        <v>43</v>
      </c>
      <c r="B48" s="8" t="s">
        <v>125</v>
      </c>
      <c r="C48" s="25" t="s">
        <v>126</v>
      </c>
      <c r="D48" s="4" t="s">
        <v>127</v>
      </c>
      <c r="E48" s="3">
        <v>43020</v>
      </c>
      <c r="F48" s="12" t="s">
        <v>128</v>
      </c>
      <c r="G48" s="4" t="s">
        <v>129</v>
      </c>
      <c r="H48" s="82"/>
      <c r="I48" s="96"/>
      <c r="J48" s="79"/>
      <c r="K48" s="29"/>
      <c r="L48" s="29">
        <f>335.33+495+495+495+495+495+495+495+495+495+495+495+495+495+495+495+495+495+495+495+495+495+495+495+495+495+495+495+495+495+10+495+495+495+495+225.92+495+495+58.03+495+495+10+495+495+58.03+575.41+4</f>
        <v>20581.719999999998</v>
      </c>
      <c r="M48" s="36" t="s">
        <v>143</v>
      </c>
    </row>
    <row r="49" spans="1:13" ht="99.95" customHeight="1">
      <c r="A49" s="9">
        <v>44</v>
      </c>
      <c r="B49" s="8" t="s">
        <v>122</v>
      </c>
      <c r="C49" s="25">
        <v>3380410104</v>
      </c>
      <c r="D49" s="30" t="s">
        <v>130</v>
      </c>
      <c r="E49" s="34">
        <v>43013</v>
      </c>
      <c r="F49" s="31" t="s">
        <v>109</v>
      </c>
      <c r="G49" s="4" t="s">
        <v>131</v>
      </c>
      <c r="H49" s="100"/>
      <c r="I49" s="116"/>
      <c r="J49" s="68"/>
      <c r="K49" s="29"/>
      <c r="L49" s="63">
        <f>10000+6000+6000+6000+6000</f>
        <v>34000</v>
      </c>
      <c r="M49" s="36" t="s">
        <v>143</v>
      </c>
    </row>
    <row r="50" spans="1:13" ht="99.95" customHeight="1">
      <c r="A50" s="9">
        <v>45</v>
      </c>
      <c r="B50" s="8" t="s">
        <v>132</v>
      </c>
      <c r="C50" s="25" t="s">
        <v>133</v>
      </c>
      <c r="D50" s="4" t="s">
        <v>135</v>
      </c>
      <c r="E50" s="34">
        <v>43033</v>
      </c>
      <c r="F50" s="31" t="s">
        <v>134</v>
      </c>
      <c r="G50" s="142">
        <v>26400</v>
      </c>
      <c r="H50" s="82"/>
      <c r="I50" s="96"/>
      <c r="J50" s="79"/>
      <c r="K50" s="29">
        <f>440+440+440</f>
        <v>1320</v>
      </c>
      <c r="L50" s="29">
        <f>482.58+440+440+440+20+440+440+440+440+440+440+440+440+440+440+440+440+440+440+400+440+440+440+440+440+440+440+440+440+440+440+440+440+440+440+440+440+440+440+440+440+440+440+440+440+440+440+440+440+440+440+440+440</f>
        <v>22902.58</v>
      </c>
      <c r="M50" s="36" t="s">
        <v>142</v>
      </c>
    </row>
    <row r="51" spans="1:13" ht="99.95" customHeight="1">
      <c r="A51" s="9">
        <v>46</v>
      </c>
      <c r="B51" s="8" t="s">
        <v>137</v>
      </c>
      <c r="C51" s="25" t="s">
        <v>138</v>
      </c>
      <c r="D51" s="4" t="s">
        <v>139</v>
      </c>
      <c r="E51" s="34">
        <v>43047</v>
      </c>
      <c r="F51" s="12" t="s">
        <v>140</v>
      </c>
      <c r="G51" s="4" t="s">
        <v>141</v>
      </c>
      <c r="H51" s="33"/>
      <c r="I51" s="117"/>
      <c r="J51" s="79"/>
      <c r="K51" s="29"/>
      <c r="L51" s="29">
        <v>5040</v>
      </c>
      <c r="M51" s="1" t="s">
        <v>143</v>
      </c>
    </row>
    <row r="52" spans="1:13" ht="99.95" customHeight="1">
      <c r="A52" s="9">
        <v>47</v>
      </c>
      <c r="B52" s="8" t="s">
        <v>28</v>
      </c>
      <c r="C52" s="14">
        <v>7583180968</v>
      </c>
      <c r="D52" s="30" t="s">
        <v>27</v>
      </c>
      <c r="E52" s="32">
        <v>43011</v>
      </c>
      <c r="F52" s="34">
        <v>43151</v>
      </c>
      <c r="G52" s="4" t="s">
        <v>144</v>
      </c>
      <c r="H52" s="82"/>
      <c r="I52" s="96"/>
      <c r="J52" s="79"/>
      <c r="K52" s="29"/>
      <c r="L52" s="13">
        <f>20448.29+13632.19</f>
        <v>34080.480000000003</v>
      </c>
      <c r="M52" s="1" t="s">
        <v>143</v>
      </c>
    </row>
    <row r="53" spans="1:13" ht="99.95" customHeight="1">
      <c r="A53" s="9">
        <v>48</v>
      </c>
      <c r="B53" s="8" t="s">
        <v>111</v>
      </c>
      <c r="C53" s="14">
        <v>3301630962</v>
      </c>
      <c r="D53" s="28" t="s">
        <v>154</v>
      </c>
      <c r="E53" s="12">
        <v>43056</v>
      </c>
      <c r="F53" s="12"/>
      <c r="G53" s="4" t="s">
        <v>174</v>
      </c>
      <c r="H53" s="82"/>
      <c r="I53" s="96"/>
      <c r="J53" s="79"/>
      <c r="K53" s="29"/>
      <c r="L53" s="29">
        <f>6720+2520</f>
        <v>9240</v>
      </c>
      <c r="M53" s="1" t="s">
        <v>143</v>
      </c>
    </row>
    <row r="54" spans="1:13" ht="99.95" customHeight="1">
      <c r="A54" s="9">
        <v>49</v>
      </c>
      <c r="B54" s="23" t="s">
        <v>149</v>
      </c>
      <c r="C54" s="92" t="s">
        <v>150</v>
      </c>
      <c r="D54" s="4" t="s">
        <v>151</v>
      </c>
      <c r="E54" s="88">
        <v>43066</v>
      </c>
      <c r="F54" s="127" t="s">
        <v>365</v>
      </c>
      <c r="G54" s="120" t="s">
        <v>339</v>
      </c>
      <c r="H54" s="4"/>
      <c r="I54" s="12"/>
      <c r="J54" s="68"/>
      <c r="K54" s="29"/>
      <c r="L54" s="29">
        <f>9660.2+9660.2+14490.3+14490.3+9660.2+9660.2+9660.2+14490+14490+9611.9</f>
        <v>115873.49999999999</v>
      </c>
      <c r="M54" s="36" t="s">
        <v>143</v>
      </c>
    </row>
    <row r="55" spans="1:13" ht="99.95" customHeight="1">
      <c r="A55" s="9">
        <v>50</v>
      </c>
      <c r="B55" s="8" t="s">
        <v>155</v>
      </c>
      <c r="C55" s="25" t="s">
        <v>156</v>
      </c>
      <c r="D55" s="4" t="s">
        <v>58</v>
      </c>
      <c r="E55" s="12" t="s">
        <v>217</v>
      </c>
      <c r="F55" s="12" t="s">
        <v>218</v>
      </c>
      <c r="G55" s="61" t="s">
        <v>228</v>
      </c>
      <c r="H55" s="61"/>
      <c r="I55" s="111"/>
      <c r="J55" s="79"/>
      <c r="K55" s="29"/>
      <c r="L55" s="29">
        <f>557.6+1533.33+1533.33+1533.33+1533.33+1533.33+1533.33+1000+2750+3300+3300</f>
        <v>20107.580000000002</v>
      </c>
      <c r="M55" s="1" t="s">
        <v>143</v>
      </c>
    </row>
    <row r="56" spans="1:13" ht="99.95" customHeight="1">
      <c r="A56" s="9">
        <v>51</v>
      </c>
      <c r="B56" s="8" t="s">
        <v>157</v>
      </c>
      <c r="C56" s="25" t="s">
        <v>158</v>
      </c>
      <c r="D56" s="4" t="s">
        <v>159</v>
      </c>
      <c r="E56" s="32">
        <v>43118</v>
      </c>
      <c r="F56" s="12" t="s">
        <v>160</v>
      </c>
      <c r="G56" s="86" t="s">
        <v>161</v>
      </c>
      <c r="H56" s="61"/>
      <c r="I56" s="111"/>
      <c r="J56" s="79"/>
      <c r="K56" s="29"/>
      <c r="L56" s="29">
        <f>12579+4200+16005.28+16005.28+16005.28+16005.28+16005.28+16005.28+16005.28</f>
        <v>128815.95999999999</v>
      </c>
      <c r="M56" s="36" t="s">
        <v>143</v>
      </c>
    </row>
    <row r="57" spans="1:13" ht="99.95" customHeight="1">
      <c r="A57" s="9">
        <v>52</v>
      </c>
      <c r="B57" s="8" t="s">
        <v>71</v>
      </c>
      <c r="C57" s="25" t="s">
        <v>164</v>
      </c>
      <c r="D57" s="4" t="s">
        <v>163</v>
      </c>
      <c r="E57" s="12">
        <v>43140</v>
      </c>
      <c r="F57" s="12" t="s">
        <v>72</v>
      </c>
      <c r="G57" s="37" t="s">
        <v>162</v>
      </c>
      <c r="H57" s="37"/>
      <c r="I57" s="37"/>
      <c r="J57" s="79"/>
      <c r="K57" s="51"/>
      <c r="L57" s="13">
        <f>10424.57+8215.37+7979.24+7779.24+7784.94+7783.33+7779.24+7779.24+7779.24+7779.24+7779.24+7779.24+7779.24+7779.24+7779.24</f>
        <v>119979.85000000003</v>
      </c>
      <c r="M57" s="36" t="s">
        <v>143</v>
      </c>
    </row>
    <row r="58" spans="1:13" ht="99.95" customHeight="1">
      <c r="A58" s="9">
        <v>53</v>
      </c>
      <c r="B58" s="8" t="s">
        <v>207</v>
      </c>
      <c r="C58" s="25" t="s">
        <v>167</v>
      </c>
      <c r="D58" s="4" t="s">
        <v>168</v>
      </c>
      <c r="E58" s="12">
        <v>43144</v>
      </c>
      <c r="F58" s="12" t="s">
        <v>169</v>
      </c>
      <c r="G58" s="38">
        <v>27000</v>
      </c>
      <c r="H58" s="38"/>
      <c r="I58" s="113"/>
      <c r="J58" s="79"/>
      <c r="K58" s="51"/>
      <c r="L58" s="13">
        <f>18900+8100</f>
        <v>27000</v>
      </c>
      <c r="M58" s="1" t="s">
        <v>143</v>
      </c>
    </row>
    <row r="59" spans="1:13" ht="99.95" customHeight="1">
      <c r="A59" s="9">
        <v>54</v>
      </c>
      <c r="B59" s="8" t="s">
        <v>170</v>
      </c>
      <c r="C59" s="25">
        <v>7931520964</v>
      </c>
      <c r="D59" s="4" t="s">
        <v>171</v>
      </c>
      <c r="E59" s="12">
        <v>43069</v>
      </c>
      <c r="F59" s="12" t="s">
        <v>172</v>
      </c>
      <c r="G59" s="39" t="s">
        <v>173</v>
      </c>
      <c r="H59" s="39"/>
      <c r="I59" s="115"/>
      <c r="J59" s="79"/>
      <c r="K59" s="51"/>
      <c r="L59" s="13">
        <v>56095.5</v>
      </c>
      <c r="M59" s="1" t="s">
        <v>143</v>
      </c>
    </row>
    <row r="60" spans="1:13" ht="99.95" customHeight="1">
      <c r="A60" s="9">
        <v>55</v>
      </c>
      <c r="B60" s="8" t="s">
        <v>175</v>
      </c>
      <c r="C60" s="25" t="s">
        <v>176</v>
      </c>
      <c r="D60" s="4" t="s">
        <v>177</v>
      </c>
      <c r="E60" s="12">
        <v>43083</v>
      </c>
      <c r="F60" s="12" t="s">
        <v>178</v>
      </c>
      <c r="G60" s="13" t="s">
        <v>179</v>
      </c>
      <c r="H60" s="13"/>
      <c r="I60" s="115"/>
      <c r="J60" s="79"/>
      <c r="K60" s="51"/>
      <c r="L60" s="13">
        <v>3200</v>
      </c>
      <c r="M60" s="1" t="s">
        <v>143</v>
      </c>
    </row>
    <row r="61" spans="1:13" ht="99.95" customHeight="1">
      <c r="A61" s="9">
        <v>56</v>
      </c>
      <c r="B61" s="8" t="s">
        <v>255</v>
      </c>
      <c r="C61" s="25" t="s">
        <v>183</v>
      </c>
      <c r="D61" s="4" t="s">
        <v>180</v>
      </c>
      <c r="E61" s="12">
        <v>43090</v>
      </c>
      <c r="F61" s="12" t="s">
        <v>181</v>
      </c>
      <c r="G61" s="13" t="s">
        <v>182</v>
      </c>
      <c r="H61" s="13"/>
      <c r="I61" s="115"/>
      <c r="J61" s="79"/>
      <c r="K61" s="51"/>
      <c r="L61" s="13">
        <v>9660</v>
      </c>
      <c r="M61" s="1" t="s">
        <v>143</v>
      </c>
    </row>
    <row r="62" spans="1:13" ht="150">
      <c r="A62" s="9">
        <v>57</v>
      </c>
      <c r="B62" s="8" t="s">
        <v>184</v>
      </c>
      <c r="C62" s="25">
        <v>12883390150</v>
      </c>
      <c r="D62" s="4" t="s">
        <v>366</v>
      </c>
      <c r="E62" s="46" t="s">
        <v>367</v>
      </c>
      <c r="F62" s="12" t="s">
        <v>185</v>
      </c>
      <c r="G62" s="13">
        <f>342000+15000+12000</f>
        <v>369000</v>
      </c>
      <c r="H62" s="40"/>
      <c r="I62" s="110"/>
      <c r="J62" s="79"/>
      <c r="K62" s="51"/>
      <c r="L62" s="57">
        <f>15000+29700+45000+12000+59400</f>
        <v>161100</v>
      </c>
      <c r="M62" s="36" t="s">
        <v>142</v>
      </c>
    </row>
    <row r="63" spans="1:13" ht="99.95" customHeight="1">
      <c r="A63" s="9">
        <v>58</v>
      </c>
      <c r="B63" s="8" t="s">
        <v>186</v>
      </c>
      <c r="C63" s="25" t="s">
        <v>187</v>
      </c>
      <c r="D63" s="4" t="s">
        <v>188</v>
      </c>
      <c r="E63" s="12">
        <v>43202</v>
      </c>
      <c r="F63" s="12" t="s">
        <v>189</v>
      </c>
      <c r="G63" s="40" t="s">
        <v>190</v>
      </c>
      <c r="H63" s="40"/>
      <c r="I63" s="110"/>
      <c r="J63" s="79"/>
      <c r="K63" s="51"/>
      <c r="L63" s="13">
        <f>4420+4420</f>
        <v>8840</v>
      </c>
      <c r="M63" s="1" t="s">
        <v>143</v>
      </c>
    </row>
    <row r="64" spans="1:13" ht="99.95" customHeight="1">
      <c r="A64" s="9">
        <v>59</v>
      </c>
      <c r="B64" s="8" t="s">
        <v>28</v>
      </c>
      <c r="C64" s="14">
        <v>7583180968</v>
      </c>
      <c r="D64" s="30" t="s">
        <v>27</v>
      </c>
      <c r="E64" s="32">
        <v>43223</v>
      </c>
      <c r="F64" s="3" t="s">
        <v>191</v>
      </c>
      <c r="G64" s="67" t="s">
        <v>192</v>
      </c>
      <c r="H64" s="67"/>
      <c r="I64" s="103"/>
      <c r="J64" s="79"/>
      <c r="K64" s="51"/>
      <c r="L64" s="63">
        <f>48679.56+19706.53+6412.8+9519.4</f>
        <v>84318.29</v>
      </c>
      <c r="M64" s="1" t="s">
        <v>143</v>
      </c>
    </row>
    <row r="65" spans="1:13" ht="99.95" customHeight="1">
      <c r="A65" s="9">
        <v>60</v>
      </c>
      <c r="B65" s="8" t="s">
        <v>122</v>
      </c>
      <c r="C65" s="25">
        <v>3380410104</v>
      </c>
      <c r="D65" s="4" t="s">
        <v>193</v>
      </c>
      <c r="E65" s="31">
        <v>43257</v>
      </c>
      <c r="F65" s="12" t="s">
        <v>194</v>
      </c>
      <c r="G65" s="66" t="s">
        <v>232</v>
      </c>
      <c r="H65" s="66"/>
      <c r="I65" s="115"/>
      <c r="J65" s="79"/>
      <c r="K65" s="51"/>
      <c r="L65" s="63">
        <f>5000+15000+5000+5000+15000</f>
        <v>45000</v>
      </c>
      <c r="M65" s="36" t="s">
        <v>143</v>
      </c>
    </row>
    <row r="66" spans="1:13" ht="99.95" customHeight="1">
      <c r="A66" s="9">
        <v>61</v>
      </c>
      <c r="B66" s="8" t="s">
        <v>207</v>
      </c>
      <c r="C66" s="25" t="s">
        <v>167</v>
      </c>
      <c r="D66" s="4" t="s">
        <v>198</v>
      </c>
      <c r="E66" s="12">
        <v>43257</v>
      </c>
      <c r="F66" s="12" t="s">
        <v>199</v>
      </c>
      <c r="G66" s="38">
        <v>13000</v>
      </c>
      <c r="H66" s="38"/>
      <c r="I66" s="113"/>
      <c r="J66" s="79"/>
      <c r="K66" s="51"/>
      <c r="L66" s="13">
        <f>5200+7800</f>
        <v>13000</v>
      </c>
      <c r="M66" s="1" t="s">
        <v>143</v>
      </c>
    </row>
    <row r="67" spans="1:13" ht="99.95" customHeight="1">
      <c r="A67" s="9">
        <v>62</v>
      </c>
      <c r="B67" s="8" t="s">
        <v>353</v>
      </c>
      <c r="C67" s="25" t="s">
        <v>200</v>
      </c>
      <c r="D67" s="4" t="s">
        <v>201</v>
      </c>
      <c r="E67" s="34">
        <v>43283</v>
      </c>
      <c r="F67" s="12" t="s">
        <v>202</v>
      </c>
      <c r="G67" s="83" t="s">
        <v>203</v>
      </c>
      <c r="H67" s="83" t="s">
        <v>625</v>
      </c>
      <c r="I67" s="108" t="s">
        <v>624</v>
      </c>
      <c r="J67" s="79" t="s">
        <v>557</v>
      </c>
      <c r="K67" s="20">
        <f>71959.18+81361.18</f>
        <v>153320.35999999999</v>
      </c>
      <c r="L67" s="57">
        <f>1659126.27+173278.47+100697.36+45334.43+58338.53+117116.6+100330.94+71959.18+81361.18</f>
        <v>2407542.9600000004</v>
      </c>
      <c r="M67" s="36" t="s">
        <v>142</v>
      </c>
    </row>
    <row r="68" spans="1:13" ht="99.95" customHeight="1">
      <c r="A68" s="9">
        <v>63</v>
      </c>
      <c r="B68" s="8" t="s">
        <v>204</v>
      </c>
      <c r="C68" s="25" t="s">
        <v>205</v>
      </c>
      <c r="D68" s="4" t="s">
        <v>206</v>
      </c>
      <c r="E68" s="34">
        <v>43276</v>
      </c>
      <c r="F68" s="12" t="s">
        <v>229</v>
      </c>
      <c r="G68" s="83">
        <f>138149.13+11800</f>
        <v>149949.13</v>
      </c>
      <c r="H68" s="83"/>
      <c r="I68" s="46"/>
      <c r="J68" s="79"/>
      <c r="K68" s="51"/>
      <c r="L68" s="13">
        <f>27491.68+110657.45+11800</f>
        <v>149949.13</v>
      </c>
      <c r="M68" s="1" t="s">
        <v>143</v>
      </c>
    </row>
    <row r="69" spans="1:13" ht="99.95" customHeight="1">
      <c r="A69" s="9">
        <v>64</v>
      </c>
      <c r="B69" s="8" t="s">
        <v>111</v>
      </c>
      <c r="C69" s="14">
        <v>3301630962</v>
      </c>
      <c r="D69" s="59" t="s">
        <v>208</v>
      </c>
      <c r="E69" s="31">
        <v>43312</v>
      </c>
      <c r="F69" s="60"/>
      <c r="G69" s="48" t="s">
        <v>209</v>
      </c>
      <c r="H69" s="48"/>
      <c r="I69" s="95"/>
      <c r="J69" s="79"/>
      <c r="K69" s="51"/>
      <c r="L69" s="13">
        <v>3206.4</v>
      </c>
      <c r="M69" s="1" t="s">
        <v>143</v>
      </c>
    </row>
    <row r="70" spans="1:13" ht="99.95" customHeight="1">
      <c r="A70" s="9">
        <v>65</v>
      </c>
      <c r="B70" s="8" t="s">
        <v>211</v>
      </c>
      <c r="C70" s="25" t="s">
        <v>212</v>
      </c>
      <c r="D70" s="28" t="s">
        <v>213</v>
      </c>
      <c r="E70" s="31">
        <v>43369</v>
      </c>
      <c r="F70" s="62" t="s">
        <v>215</v>
      </c>
      <c r="G70" s="13" t="s">
        <v>214</v>
      </c>
      <c r="H70" s="13"/>
      <c r="I70" s="115"/>
      <c r="J70" s="79"/>
      <c r="K70" s="51"/>
      <c r="L70" s="13">
        <f>8400+8400+7500+7500+7500</f>
        <v>39300</v>
      </c>
      <c r="M70" s="36" t="s">
        <v>143</v>
      </c>
    </row>
    <row r="71" spans="1:13" ht="99.95" customHeight="1">
      <c r="A71" s="9">
        <v>66</v>
      </c>
      <c r="B71" s="8" t="s">
        <v>274</v>
      </c>
      <c r="C71" s="25" t="s">
        <v>225</v>
      </c>
      <c r="D71" s="4" t="s">
        <v>224</v>
      </c>
      <c r="E71" s="12">
        <v>43347</v>
      </c>
      <c r="F71" s="12" t="s">
        <v>227</v>
      </c>
      <c r="G71" s="65" t="s">
        <v>226</v>
      </c>
      <c r="H71" s="65"/>
      <c r="I71" s="115"/>
      <c r="J71" s="51"/>
      <c r="K71" s="51"/>
      <c r="L71" s="13">
        <f>26.38+130.09+535.33+660+660+660+660+130.09+660+660+660+660+130.09+660+660+660+660</f>
        <v>8871.98</v>
      </c>
      <c r="M71" s="36" t="s">
        <v>143</v>
      </c>
    </row>
    <row r="72" spans="1:13" ht="99.95" customHeight="1">
      <c r="A72" s="9">
        <v>67</v>
      </c>
      <c r="B72" s="8" t="s">
        <v>216</v>
      </c>
      <c r="C72" s="25">
        <v>10157530964</v>
      </c>
      <c r="D72" s="4" t="s">
        <v>58</v>
      </c>
      <c r="E72" s="12" t="s">
        <v>306</v>
      </c>
      <c r="F72" s="46" t="s">
        <v>314</v>
      </c>
      <c r="G72" s="61">
        <f>19400+1616+808</f>
        <v>21824</v>
      </c>
      <c r="H72" s="61"/>
      <c r="I72" s="111"/>
      <c r="J72" s="79"/>
      <c r="K72" s="51"/>
      <c r="L72" s="29">
        <f>1617+1617+1617+1617+1617+1617+1617+1617+3234+3234+1617+888</f>
        <v>21909</v>
      </c>
      <c r="M72" s="1" t="s">
        <v>143</v>
      </c>
    </row>
    <row r="73" spans="1:13" ht="99.95" customHeight="1">
      <c r="A73" s="9">
        <v>68</v>
      </c>
      <c r="B73" s="8" t="s">
        <v>219</v>
      </c>
      <c r="C73" s="14">
        <v>1850570746</v>
      </c>
      <c r="D73" s="4" t="s">
        <v>220</v>
      </c>
      <c r="E73" s="31">
        <v>43424</v>
      </c>
      <c r="F73" s="12" t="s">
        <v>221</v>
      </c>
      <c r="G73" s="64" t="s">
        <v>222</v>
      </c>
      <c r="H73" s="64"/>
      <c r="I73" s="118"/>
      <c r="J73" s="79"/>
      <c r="K73" s="51"/>
      <c r="L73" s="29">
        <f>8000+8000+8000</f>
        <v>24000</v>
      </c>
      <c r="M73" s="1" t="s">
        <v>143</v>
      </c>
    </row>
    <row r="74" spans="1:13" ht="99.95" customHeight="1">
      <c r="A74" s="9">
        <v>69</v>
      </c>
      <c r="B74" s="8" t="s">
        <v>34</v>
      </c>
      <c r="C74" s="14">
        <v>830660155</v>
      </c>
      <c r="D74" s="4" t="s">
        <v>45</v>
      </c>
      <c r="E74" s="3">
        <v>43447</v>
      </c>
      <c r="F74" s="3" t="s">
        <v>230</v>
      </c>
      <c r="G74" s="4" t="s">
        <v>37</v>
      </c>
      <c r="H74" s="4"/>
      <c r="I74" s="46"/>
      <c r="J74" s="79"/>
      <c r="K74" s="51"/>
      <c r="L74" s="13">
        <f>5819+5759</f>
        <v>11578</v>
      </c>
      <c r="M74" s="36" t="s">
        <v>143</v>
      </c>
    </row>
    <row r="75" spans="1:13" ht="99.95" customHeight="1">
      <c r="A75" s="9">
        <v>70</v>
      </c>
      <c r="B75" s="8" t="s">
        <v>234</v>
      </c>
      <c r="C75" s="25" t="s">
        <v>550</v>
      </c>
      <c r="D75" s="4" t="s">
        <v>235</v>
      </c>
      <c r="E75" s="31">
        <v>43474</v>
      </c>
      <c r="F75" s="46" t="s">
        <v>236</v>
      </c>
      <c r="G75" s="64" t="s">
        <v>237</v>
      </c>
      <c r="H75" s="64"/>
      <c r="I75" s="46"/>
      <c r="J75" s="79"/>
      <c r="K75" s="51"/>
      <c r="L75" s="13">
        <v>28000</v>
      </c>
      <c r="M75" s="1" t="s">
        <v>143</v>
      </c>
    </row>
    <row r="76" spans="1:13" ht="99.95" customHeight="1">
      <c r="A76" s="9">
        <v>71</v>
      </c>
      <c r="B76" s="8" t="s">
        <v>238</v>
      </c>
      <c r="C76" s="25" t="s">
        <v>239</v>
      </c>
      <c r="D76" s="4" t="s">
        <v>139</v>
      </c>
      <c r="E76" s="31">
        <v>43432</v>
      </c>
      <c r="F76" s="46" t="s">
        <v>240</v>
      </c>
      <c r="G76" s="38" t="s">
        <v>257</v>
      </c>
      <c r="H76" s="38"/>
      <c r="I76" s="113"/>
      <c r="J76" s="79"/>
      <c r="K76" s="51"/>
      <c r="L76" s="13">
        <v>8344.66</v>
      </c>
      <c r="M76" s="1" t="s">
        <v>143</v>
      </c>
    </row>
    <row r="77" spans="1:13" ht="99.95" customHeight="1">
      <c r="A77" s="9">
        <v>72</v>
      </c>
      <c r="B77" s="8" t="s">
        <v>255</v>
      </c>
      <c r="C77" s="25" t="s">
        <v>241</v>
      </c>
      <c r="D77" s="4" t="s">
        <v>242</v>
      </c>
      <c r="E77" s="31">
        <v>43440</v>
      </c>
      <c r="F77" s="46" t="s">
        <v>243</v>
      </c>
      <c r="G77" s="64" t="s">
        <v>244</v>
      </c>
      <c r="H77" s="64"/>
      <c r="I77" s="118"/>
      <c r="J77" s="79"/>
      <c r="K77" s="51"/>
      <c r="L77" s="13">
        <v>5290.56</v>
      </c>
      <c r="M77" s="1" t="s">
        <v>143</v>
      </c>
    </row>
    <row r="78" spans="1:13" ht="99.95" customHeight="1">
      <c r="A78" s="9">
        <v>73</v>
      </c>
      <c r="B78" s="8" t="s">
        <v>207</v>
      </c>
      <c r="C78" s="25" t="s">
        <v>167</v>
      </c>
      <c r="D78" s="4" t="s">
        <v>245</v>
      </c>
      <c r="E78" s="12">
        <v>43480</v>
      </c>
      <c r="F78" s="12" t="s">
        <v>258</v>
      </c>
      <c r="G78" s="38">
        <v>20000</v>
      </c>
      <c r="H78" s="38"/>
      <c r="I78" s="113"/>
      <c r="J78" s="79"/>
      <c r="K78" s="51"/>
      <c r="L78" s="13">
        <f>10000+10000</f>
        <v>20000</v>
      </c>
      <c r="M78" s="36" t="s">
        <v>143</v>
      </c>
    </row>
    <row r="79" spans="1:13" ht="99.95" customHeight="1">
      <c r="A79" s="9">
        <v>74</v>
      </c>
      <c r="B79" s="8" t="s">
        <v>207</v>
      </c>
      <c r="C79" s="25" t="s">
        <v>167</v>
      </c>
      <c r="D79" s="4" t="s">
        <v>256</v>
      </c>
      <c r="E79" s="12">
        <v>43505</v>
      </c>
      <c r="F79" s="12" t="s">
        <v>259</v>
      </c>
      <c r="G79" s="38">
        <v>20000</v>
      </c>
      <c r="H79" s="38"/>
      <c r="I79" s="113"/>
      <c r="J79" s="79"/>
      <c r="K79" s="51"/>
      <c r="L79" s="13">
        <f>5000+5000+5000+5000</f>
        <v>20000</v>
      </c>
      <c r="M79" s="36" t="s">
        <v>143</v>
      </c>
    </row>
    <row r="80" spans="1:13" ht="362.25">
      <c r="A80" s="9">
        <v>75</v>
      </c>
      <c r="B80" s="8" t="s">
        <v>10</v>
      </c>
      <c r="C80" s="14">
        <v>3049560166</v>
      </c>
      <c r="D80" s="5" t="s">
        <v>246</v>
      </c>
      <c r="E80" s="12" t="s">
        <v>543</v>
      </c>
      <c r="F80" s="4" t="s">
        <v>544</v>
      </c>
      <c r="G80" s="5" t="s">
        <v>542</v>
      </c>
      <c r="H80" s="67"/>
      <c r="I80" s="103"/>
      <c r="J80" s="79"/>
      <c r="K80" s="51"/>
      <c r="L80" s="13">
        <f>8800+7400+1400+3000+1000+13200+12800+8800+4400</f>
        <v>60800</v>
      </c>
      <c r="M80" s="36" t="s">
        <v>143</v>
      </c>
    </row>
    <row r="81" spans="1:13" ht="99.95" customHeight="1">
      <c r="A81" s="9">
        <v>76</v>
      </c>
      <c r="B81" s="8" t="s">
        <v>247</v>
      </c>
      <c r="C81" s="14" t="s">
        <v>248</v>
      </c>
      <c r="D81" s="5" t="s">
        <v>249</v>
      </c>
      <c r="E81" s="24">
        <v>43502</v>
      </c>
      <c r="F81" s="4" t="s">
        <v>250</v>
      </c>
      <c r="G81" s="85">
        <v>937.5</v>
      </c>
      <c r="H81" s="39"/>
      <c r="I81" s="115"/>
      <c r="J81" s="79"/>
      <c r="K81" s="51"/>
      <c r="L81" s="13">
        <v>750</v>
      </c>
      <c r="M81" s="1" t="s">
        <v>143</v>
      </c>
    </row>
    <row r="82" spans="1:13" ht="99.95" customHeight="1">
      <c r="A82" s="9">
        <v>77</v>
      </c>
      <c r="B82" s="8" t="s">
        <v>251</v>
      </c>
      <c r="C82" s="14">
        <v>12735620150</v>
      </c>
      <c r="D82" s="5" t="s">
        <v>252</v>
      </c>
      <c r="E82" s="3">
        <v>43522</v>
      </c>
      <c r="F82" s="4" t="s">
        <v>253</v>
      </c>
      <c r="G82" s="5" t="s">
        <v>254</v>
      </c>
      <c r="H82" s="39"/>
      <c r="I82" s="115"/>
      <c r="J82" s="79"/>
      <c r="K82" s="51"/>
      <c r="L82" s="13">
        <v>2312.84</v>
      </c>
      <c r="M82" s="1" t="s">
        <v>143</v>
      </c>
    </row>
    <row r="83" spans="1:13" ht="99.95" customHeight="1">
      <c r="A83" s="9">
        <v>78</v>
      </c>
      <c r="B83" s="8" t="s">
        <v>170</v>
      </c>
      <c r="C83" s="25">
        <v>7931520964</v>
      </c>
      <c r="D83" s="4" t="s">
        <v>171</v>
      </c>
      <c r="E83" s="12" t="s">
        <v>260</v>
      </c>
      <c r="F83" s="12" t="s">
        <v>261</v>
      </c>
      <c r="G83" s="39" t="s">
        <v>173</v>
      </c>
      <c r="H83" s="39"/>
      <c r="I83" s="115"/>
      <c r="J83" s="79"/>
      <c r="K83" s="51"/>
      <c r="L83" s="57">
        <f>2391.5+1906+2122+1909+2360+2633+1866+1850+1942.5+2051+1328.5+1270+1287.5+1322+1330+1297+1322+1320.5+1336.5+1259+1306+1339.5+1316+1258.5+1335+1311+991.12+668.66+1180+1180+1251+1219.5+1322+1276+1180+1180</f>
        <v>53418.280000000006</v>
      </c>
      <c r="M83" s="1" t="s">
        <v>142</v>
      </c>
    </row>
    <row r="84" spans="1:13" ht="99.95" customHeight="1">
      <c r="A84" s="9">
        <v>79</v>
      </c>
      <c r="B84" s="8" t="s">
        <v>262</v>
      </c>
      <c r="C84" s="14" t="s">
        <v>263</v>
      </c>
      <c r="D84" s="5" t="s">
        <v>264</v>
      </c>
      <c r="E84" s="24">
        <v>43571</v>
      </c>
      <c r="F84" s="4" t="s">
        <v>265</v>
      </c>
      <c r="G84" s="85" t="s">
        <v>266</v>
      </c>
      <c r="H84" s="39"/>
      <c r="I84" s="115"/>
      <c r="J84" s="79"/>
      <c r="K84" s="51"/>
      <c r="L84" s="13">
        <v>6000</v>
      </c>
      <c r="M84" s="36" t="s">
        <v>143</v>
      </c>
    </row>
    <row r="85" spans="1:13" ht="99.95" customHeight="1">
      <c r="A85" s="9">
        <v>80</v>
      </c>
      <c r="B85" s="8" t="s">
        <v>267</v>
      </c>
      <c r="C85" s="14" t="s">
        <v>268</v>
      </c>
      <c r="D85" s="5" t="s">
        <v>264</v>
      </c>
      <c r="E85" s="3">
        <v>43571</v>
      </c>
      <c r="F85" s="4" t="s">
        <v>265</v>
      </c>
      <c r="G85" s="5" t="s">
        <v>266</v>
      </c>
      <c r="H85" s="5"/>
      <c r="I85" s="37"/>
      <c r="J85" s="79"/>
      <c r="K85" s="51"/>
      <c r="L85" s="13">
        <v>5116.72</v>
      </c>
      <c r="M85" s="36" t="s">
        <v>143</v>
      </c>
    </row>
    <row r="86" spans="1:13" ht="99.95" customHeight="1">
      <c r="A86" s="9">
        <v>81</v>
      </c>
      <c r="B86" s="8" t="s">
        <v>273</v>
      </c>
      <c r="C86" s="25" t="s">
        <v>269</v>
      </c>
      <c r="D86" s="5" t="s">
        <v>270</v>
      </c>
      <c r="E86" s="3">
        <v>43600</v>
      </c>
      <c r="F86" s="4" t="s">
        <v>271</v>
      </c>
      <c r="G86" s="5" t="s">
        <v>272</v>
      </c>
      <c r="H86" s="37"/>
      <c r="I86" s="37"/>
      <c r="J86" s="76"/>
      <c r="K86" s="51"/>
      <c r="L86" s="13">
        <f>5344+1603.2</f>
        <v>6947.2</v>
      </c>
      <c r="M86" s="36" t="s">
        <v>143</v>
      </c>
    </row>
    <row r="87" spans="1:13" ht="99.95" customHeight="1">
      <c r="A87" s="9">
        <v>82</v>
      </c>
      <c r="B87" s="8" t="s">
        <v>278</v>
      </c>
      <c r="C87" s="25" t="s">
        <v>281</v>
      </c>
      <c r="D87" s="5" t="s">
        <v>279</v>
      </c>
      <c r="E87" s="3">
        <v>43451</v>
      </c>
      <c r="F87" s="4"/>
      <c r="G87" s="5" t="s">
        <v>280</v>
      </c>
      <c r="H87" s="5"/>
      <c r="I87" s="37"/>
      <c r="J87" s="79"/>
      <c r="K87" s="51"/>
      <c r="L87" s="13"/>
      <c r="M87" s="36" t="s">
        <v>142</v>
      </c>
    </row>
    <row r="88" spans="1:13" ht="99.95" customHeight="1">
      <c r="A88" s="9">
        <v>83</v>
      </c>
      <c r="B88" s="8" t="s">
        <v>294</v>
      </c>
      <c r="C88" s="25"/>
      <c r="D88" s="5" t="s">
        <v>283</v>
      </c>
      <c r="E88" s="3">
        <v>43643</v>
      </c>
      <c r="F88" s="4" t="s">
        <v>284</v>
      </c>
      <c r="G88" s="4" t="s">
        <v>293</v>
      </c>
      <c r="H88" s="5"/>
      <c r="I88" s="37"/>
      <c r="J88" s="79"/>
      <c r="K88" s="51"/>
      <c r="L88" s="13">
        <f>400000+400000</f>
        <v>800000</v>
      </c>
      <c r="M88" s="36" t="s">
        <v>143</v>
      </c>
    </row>
    <row r="89" spans="1:13" ht="99.95" customHeight="1">
      <c r="A89" s="9">
        <v>84</v>
      </c>
      <c r="B89" s="8" t="s">
        <v>28</v>
      </c>
      <c r="C89" s="98">
        <v>7583180968</v>
      </c>
      <c r="D89" s="30" t="s">
        <v>285</v>
      </c>
      <c r="E89" s="32">
        <v>43713</v>
      </c>
      <c r="F89" s="46" t="s">
        <v>286</v>
      </c>
      <c r="G89" s="67" t="s">
        <v>287</v>
      </c>
      <c r="H89" s="67"/>
      <c r="I89" s="103"/>
      <c r="J89" s="79"/>
      <c r="K89" s="57"/>
      <c r="L89" s="63">
        <f>9832.96+2458.24</f>
        <v>12291.199999999999</v>
      </c>
      <c r="M89" s="1" t="s">
        <v>143</v>
      </c>
    </row>
    <row r="90" spans="1:13" ht="99.95" customHeight="1">
      <c r="A90" s="9">
        <v>85</v>
      </c>
      <c r="B90" s="8" t="s">
        <v>288</v>
      </c>
      <c r="C90" s="99" t="s">
        <v>289</v>
      </c>
      <c r="D90" s="30" t="s">
        <v>290</v>
      </c>
      <c r="E90" s="32">
        <v>43720</v>
      </c>
      <c r="F90" s="46" t="s">
        <v>291</v>
      </c>
      <c r="G90" s="67" t="s">
        <v>292</v>
      </c>
      <c r="H90" s="67"/>
      <c r="I90" s="103"/>
      <c r="J90" s="79"/>
      <c r="K90" s="57"/>
      <c r="L90" s="63">
        <f>13230+5670</f>
        <v>18900</v>
      </c>
      <c r="M90" s="36" t="s">
        <v>143</v>
      </c>
    </row>
    <row r="91" spans="1:13" ht="99.95" customHeight="1">
      <c r="A91" s="9">
        <v>86</v>
      </c>
      <c r="B91" s="8" t="s">
        <v>295</v>
      </c>
      <c r="C91" s="99" t="s">
        <v>296</v>
      </c>
      <c r="D91" s="5" t="s">
        <v>297</v>
      </c>
      <c r="E91" s="32">
        <v>43748</v>
      </c>
      <c r="F91" s="46" t="s">
        <v>298</v>
      </c>
      <c r="G91" s="67" t="s">
        <v>299</v>
      </c>
      <c r="H91" s="67"/>
      <c r="I91" s="103"/>
      <c r="J91" s="79"/>
      <c r="K91" s="57"/>
      <c r="L91" s="63"/>
      <c r="M91" s="36" t="s">
        <v>142</v>
      </c>
    </row>
    <row r="92" spans="1:13" ht="99.95" customHeight="1">
      <c r="A92" s="9">
        <v>87</v>
      </c>
      <c r="B92" s="8" t="s">
        <v>9</v>
      </c>
      <c r="C92" s="15" t="s">
        <v>300</v>
      </c>
      <c r="D92" s="4" t="s">
        <v>301</v>
      </c>
      <c r="E92" s="34">
        <v>43748</v>
      </c>
      <c r="F92" s="46" t="s">
        <v>302</v>
      </c>
      <c r="G92" s="102" t="s">
        <v>303</v>
      </c>
      <c r="H92" s="50"/>
      <c r="I92" s="103"/>
      <c r="J92" s="79"/>
      <c r="K92" s="57"/>
      <c r="L92" s="63">
        <f>131667+7000+65833.5+65833.5+7000+7000</f>
        <v>284334</v>
      </c>
      <c r="M92" s="36" t="s">
        <v>142</v>
      </c>
    </row>
    <row r="93" spans="1:13" ht="99.95" customHeight="1">
      <c r="A93" s="9">
        <v>88</v>
      </c>
      <c r="B93" s="8" t="s">
        <v>28</v>
      </c>
      <c r="C93" s="98">
        <v>7583180968</v>
      </c>
      <c r="D93" s="4" t="s">
        <v>304</v>
      </c>
      <c r="E93" s="34">
        <v>43760</v>
      </c>
      <c r="F93" s="46"/>
      <c r="G93" s="102" t="s">
        <v>305</v>
      </c>
      <c r="H93" s="67"/>
      <c r="I93" s="103"/>
      <c r="J93" s="79"/>
      <c r="K93" s="57"/>
      <c r="L93" s="63">
        <f>6904.6+13520.32</f>
        <v>20424.919999999998</v>
      </c>
      <c r="M93" s="1" t="s">
        <v>143</v>
      </c>
    </row>
    <row r="94" spans="1:13" ht="99.95" customHeight="1">
      <c r="A94" s="9">
        <v>89</v>
      </c>
      <c r="B94" s="8" t="s">
        <v>307</v>
      </c>
      <c r="C94" s="98" t="s">
        <v>308</v>
      </c>
      <c r="D94" s="4" t="s">
        <v>309</v>
      </c>
      <c r="E94" s="34">
        <v>43775</v>
      </c>
      <c r="F94" s="46" t="s">
        <v>298</v>
      </c>
      <c r="G94" s="102" t="s">
        <v>310</v>
      </c>
      <c r="H94" s="67"/>
      <c r="I94" s="103"/>
      <c r="J94" s="79"/>
      <c r="K94" s="57"/>
      <c r="L94" s="63">
        <v>761</v>
      </c>
      <c r="M94" s="1" t="s">
        <v>142</v>
      </c>
    </row>
    <row r="95" spans="1:13" ht="99.95" customHeight="1">
      <c r="A95" s="9">
        <v>90</v>
      </c>
      <c r="B95" s="8" t="s">
        <v>28</v>
      </c>
      <c r="C95" s="14">
        <v>7583180968</v>
      </c>
      <c r="D95" s="4" t="s">
        <v>311</v>
      </c>
      <c r="E95" s="34">
        <v>43781</v>
      </c>
      <c r="F95" s="46" t="s">
        <v>592</v>
      </c>
      <c r="G95" s="102" t="s">
        <v>312</v>
      </c>
      <c r="H95" s="67" t="s">
        <v>607</v>
      </c>
      <c r="I95" s="103">
        <v>44691</v>
      </c>
      <c r="J95" s="79" t="s">
        <v>557</v>
      </c>
      <c r="K95" s="57">
        <v>9832.9599999999991</v>
      </c>
      <c r="L95" s="63">
        <f>2602.69+9832.96</f>
        <v>12435.65</v>
      </c>
      <c r="M95" s="36" t="s">
        <v>143</v>
      </c>
    </row>
    <row r="96" spans="1:13" ht="99.95" customHeight="1">
      <c r="A96" s="9">
        <v>91</v>
      </c>
      <c r="B96" s="8" t="s">
        <v>28</v>
      </c>
      <c r="C96" s="14">
        <v>7583180968</v>
      </c>
      <c r="D96" s="4" t="s">
        <v>606</v>
      </c>
      <c r="E96" s="34">
        <v>43811</v>
      </c>
      <c r="F96" s="46" t="s">
        <v>592</v>
      </c>
      <c r="G96" s="102" t="s">
        <v>368</v>
      </c>
      <c r="H96" s="67" t="s">
        <v>620</v>
      </c>
      <c r="I96" s="103">
        <v>44713</v>
      </c>
      <c r="J96" s="79" t="s">
        <v>557</v>
      </c>
      <c r="K96" s="57">
        <v>9832.9599999999991</v>
      </c>
      <c r="L96" s="63">
        <f>7374.72+9832.96</f>
        <v>17207.68</v>
      </c>
      <c r="M96" s="36" t="s">
        <v>143</v>
      </c>
    </row>
    <row r="97" spans="1:13" ht="99.95" customHeight="1">
      <c r="A97" s="9">
        <v>92</v>
      </c>
      <c r="B97" s="8" t="s">
        <v>10</v>
      </c>
      <c r="C97" s="104">
        <v>3049560166</v>
      </c>
      <c r="D97" s="105" t="s">
        <v>331</v>
      </c>
      <c r="E97" s="34">
        <v>43787</v>
      </c>
      <c r="F97" s="106" t="s">
        <v>313</v>
      </c>
      <c r="G97" s="107">
        <v>12000</v>
      </c>
      <c r="H97" s="67"/>
      <c r="I97" s="103"/>
      <c r="J97" s="79"/>
      <c r="K97" s="57"/>
      <c r="L97" s="63">
        <v>12000</v>
      </c>
      <c r="M97" s="36" t="s">
        <v>143</v>
      </c>
    </row>
    <row r="98" spans="1:13" ht="99.95" customHeight="1">
      <c r="A98" s="9">
        <v>93</v>
      </c>
      <c r="B98" s="8" t="s">
        <v>34</v>
      </c>
      <c r="C98" s="14">
        <v>830660155</v>
      </c>
      <c r="D98" s="4" t="s">
        <v>45</v>
      </c>
      <c r="E98" s="3">
        <v>43802</v>
      </c>
      <c r="F98" s="3" t="s">
        <v>315</v>
      </c>
      <c r="G98" s="4" t="s">
        <v>37</v>
      </c>
      <c r="H98" s="4"/>
      <c r="I98" s="46"/>
      <c r="J98" s="79"/>
      <c r="K98" s="52"/>
      <c r="L98" s="13"/>
      <c r="M98" s="36" t="s">
        <v>142</v>
      </c>
    </row>
    <row r="99" spans="1:13" ht="99.95" customHeight="1">
      <c r="A99" s="9">
        <v>94</v>
      </c>
      <c r="B99" s="7" t="s">
        <v>105</v>
      </c>
      <c r="C99" s="14">
        <v>2309220602</v>
      </c>
      <c r="D99" s="4" t="s">
        <v>483</v>
      </c>
      <c r="E99" s="144" t="s">
        <v>484</v>
      </c>
      <c r="F99" s="46" t="s">
        <v>298</v>
      </c>
      <c r="G99" s="91" t="s">
        <v>316</v>
      </c>
      <c r="H99" s="97"/>
      <c r="I99" s="94"/>
      <c r="J99" s="68"/>
      <c r="K99" s="53"/>
      <c r="L99" s="13">
        <v>4500</v>
      </c>
      <c r="M99" s="36" t="s">
        <v>143</v>
      </c>
    </row>
    <row r="100" spans="1:13" ht="99.95" customHeight="1">
      <c r="A100" s="9">
        <v>95</v>
      </c>
      <c r="B100" s="8" t="s">
        <v>122</v>
      </c>
      <c r="C100" s="15">
        <v>3380410104</v>
      </c>
      <c r="D100" s="4" t="s">
        <v>317</v>
      </c>
      <c r="E100" s="3">
        <v>43819</v>
      </c>
      <c r="F100" s="46" t="s">
        <v>318</v>
      </c>
      <c r="G100" s="45" t="s">
        <v>319</v>
      </c>
      <c r="H100" s="97"/>
      <c r="I100" s="94"/>
      <c r="J100" s="68"/>
      <c r="K100" s="53"/>
      <c r="L100" s="13">
        <f>3500+3500</f>
        <v>7000</v>
      </c>
      <c r="M100" s="36" t="s">
        <v>143</v>
      </c>
    </row>
    <row r="101" spans="1:13" ht="99.95" customHeight="1">
      <c r="A101" s="9">
        <v>96</v>
      </c>
      <c r="B101" s="8" t="s">
        <v>321</v>
      </c>
      <c r="C101" s="15">
        <v>10147540966</v>
      </c>
      <c r="D101" s="4" t="s">
        <v>322</v>
      </c>
      <c r="E101" s="3">
        <v>43819</v>
      </c>
      <c r="F101" s="46" t="s">
        <v>323</v>
      </c>
      <c r="G101" s="45">
        <v>46000</v>
      </c>
      <c r="H101" s="97"/>
      <c r="I101" s="94"/>
      <c r="J101" s="68"/>
      <c r="K101" s="53"/>
      <c r="L101" s="13">
        <v>46000</v>
      </c>
      <c r="M101" s="36" t="s">
        <v>143</v>
      </c>
    </row>
    <row r="102" spans="1:13" ht="99.95" customHeight="1">
      <c r="A102" s="9">
        <v>97</v>
      </c>
      <c r="B102" s="8" t="s">
        <v>324</v>
      </c>
      <c r="C102" s="15" t="s">
        <v>325</v>
      </c>
      <c r="D102" s="4" t="s">
        <v>326</v>
      </c>
      <c r="E102" s="3">
        <v>43819</v>
      </c>
      <c r="F102" s="46" t="s">
        <v>327</v>
      </c>
      <c r="G102" s="45">
        <v>155011.12</v>
      </c>
      <c r="H102" s="97"/>
      <c r="I102" s="94"/>
      <c r="J102" s="68"/>
      <c r="K102" s="53"/>
      <c r="L102" s="13">
        <v>12400.89</v>
      </c>
      <c r="M102" s="36" t="s">
        <v>142</v>
      </c>
    </row>
    <row r="103" spans="1:13" ht="99.95" customHeight="1">
      <c r="A103" s="9">
        <v>98</v>
      </c>
      <c r="B103" s="129" t="s">
        <v>328</v>
      </c>
      <c r="C103" s="130">
        <v>11229180150</v>
      </c>
      <c r="D103" s="131" t="s">
        <v>369</v>
      </c>
      <c r="E103" s="132" t="s">
        <v>370</v>
      </c>
      <c r="F103" s="133" t="s">
        <v>371</v>
      </c>
      <c r="G103" s="134" t="s">
        <v>372</v>
      </c>
      <c r="H103" s="97"/>
      <c r="I103" s="94"/>
      <c r="J103" s="68"/>
      <c r="K103" s="53">
        <f>1666.42+280</f>
        <v>1946.42</v>
      </c>
      <c r="L103" s="13">
        <f>4582.66+166.64+1666.42+1666.42+1666.42+1666.42+1666.42+1666.42+560+1666.42+280+1946.42+1666.42+280+1666.42+280+1666.42+280+280+1666.42+280+1666.42+280+1666.42+1666.42+280+1666.42+280+1666.42+280+1666.42+280+1666.42+280+1666.42+280+1666.42+280</f>
        <v>44504.119999999981</v>
      </c>
      <c r="M103" s="36" t="s">
        <v>143</v>
      </c>
    </row>
    <row r="104" spans="1:13" ht="99.95" customHeight="1">
      <c r="A104" s="9">
        <v>99</v>
      </c>
      <c r="B104" s="8" t="s">
        <v>10</v>
      </c>
      <c r="C104" s="104">
        <v>3049560166</v>
      </c>
      <c r="D104" s="105" t="s">
        <v>330</v>
      </c>
      <c r="E104" s="34">
        <v>43858</v>
      </c>
      <c r="F104" s="106" t="s">
        <v>332</v>
      </c>
      <c r="G104" s="107">
        <v>3000</v>
      </c>
      <c r="H104" s="67"/>
      <c r="I104" s="103"/>
      <c r="J104" s="79"/>
      <c r="K104" s="57"/>
      <c r="L104" s="63">
        <v>3000</v>
      </c>
      <c r="M104" s="36" t="s">
        <v>143</v>
      </c>
    </row>
    <row r="105" spans="1:13" ht="99.95" customHeight="1">
      <c r="A105" s="9">
        <v>100</v>
      </c>
      <c r="B105" s="8" t="s">
        <v>334</v>
      </c>
      <c r="C105" s="15" t="s">
        <v>335</v>
      </c>
      <c r="D105" s="105" t="s">
        <v>336</v>
      </c>
      <c r="E105" s="34">
        <v>43872</v>
      </c>
      <c r="F105" s="36" t="s">
        <v>337</v>
      </c>
      <c r="G105" s="107" t="s">
        <v>338</v>
      </c>
      <c r="H105" s="67"/>
      <c r="I105" s="103"/>
      <c r="J105" s="79"/>
      <c r="K105" s="57"/>
      <c r="L105" s="57">
        <f>1843.68+1597.86</f>
        <v>3441.54</v>
      </c>
      <c r="M105" s="36" t="s">
        <v>143</v>
      </c>
    </row>
    <row r="106" spans="1:13" ht="99.95" customHeight="1">
      <c r="A106" s="9">
        <v>101</v>
      </c>
      <c r="B106" s="8" t="s">
        <v>207</v>
      </c>
      <c r="C106" s="25" t="s">
        <v>167</v>
      </c>
      <c r="D106" s="4" t="s">
        <v>256</v>
      </c>
      <c r="E106" s="12">
        <v>43880</v>
      </c>
      <c r="F106" s="12" t="s">
        <v>340</v>
      </c>
      <c r="G106" s="38">
        <v>38000</v>
      </c>
      <c r="H106" s="38"/>
      <c r="I106" s="113"/>
      <c r="J106" s="79"/>
      <c r="K106" s="57"/>
      <c r="L106" s="13">
        <f>4750+4750+4750+4750+4750+4750+4750+4750</f>
        <v>38000</v>
      </c>
      <c r="M106" s="36" t="s">
        <v>143</v>
      </c>
    </row>
    <row r="107" spans="1:13" ht="99.95" customHeight="1">
      <c r="A107" s="9">
        <v>102</v>
      </c>
      <c r="B107" s="8" t="s">
        <v>334</v>
      </c>
      <c r="C107" s="15" t="s">
        <v>335</v>
      </c>
      <c r="D107" s="4" t="s">
        <v>341</v>
      </c>
      <c r="E107" s="12">
        <v>43899</v>
      </c>
      <c r="F107" s="12" t="s">
        <v>342</v>
      </c>
      <c r="G107" s="120" t="s">
        <v>343</v>
      </c>
      <c r="H107" s="38"/>
      <c r="I107" s="113"/>
      <c r="J107" s="79"/>
      <c r="K107" s="57"/>
      <c r="L107" s="13">
        <v>1175.68</v>
      </c>
      <c r="M107" s="36" t="s">
        <v>143</v>
      </c>
    </row>
    <row r="108" spans="1:13" ht="99.95" customHeight="1">
      <c r="A108" s="9">
        <v>103</v>
      </c>
      <c r="B108" s="8" t="s">
        <v>157</v>
      </c>
      <c r="C108" s="15" t="s">
        <v>158</v>
      </c>
      <c r="D108" s="4" t="s">
        <v>344</v>
      </c>
      <c r="E108" s="122" t="s">
        <v>347</v>
      </c>
      <c r="F108" s="1" t="s">
        <v>345</v>
      </c>
      <c r="G108" s="4" t="s">
        <v>346</v>
      </c>
      <c r="H108" s="120"/>
      <c r="I108" s="113"/>
      <c r="J108" s="79"/>
      <c r="K108" s="57"/>
      <c r="L108" s="13">
        <f>16032+11362.67+13260.6</f>
        <v>40655.269999999997</v>
      </c>
      <c r="M108" s="36" t="s">
        <v>143</v>
      </c>
    </row>
    <row r="109" spans="1:13" ht="99.95" customHeight="1">
      <c r="A109" s="9">
        <v>104</v>
      </c>
      <c r="B109" s="41" t="s">
        <v>348</v>
      </c>
      <c r="C109" s="15" t="s">
        <v>349</v>
      </c>
      <c r="D109" s="4" t="s">
        <v>350</v>
      </c>
      <c r="E109" s="122">
        <v>43937</v>
      </c>
      <c r="F109" s="1" t="s">
        <v>351</v>
      </c>
      <c r="G109" s="4" t="s">
        <v>352</v>
      </c>
      <c r="H109" s="38"/>
      <c r="I109" s="113"/>
      <c r="J109" s="79"/>
      <c r="K109" s="57"/>
      <c r="L109" s="13"/>
      <c r="M109" s="36" t="s">
        <v>142</v>
      </c>
    </row>
    <row r="110" spans="1:13" s="123" customFormat="1" ht="99.95" customHeight="1">
      <c r="A110" s="9">
        <v>105</v>
      </c>
      <c r="B110" s="8" t="s">
        <v>354</v>
      </c>
      <c r="C110" s="15">
        <v>12265560016</v>
      </c>
      <c r="D110" s="4" t="s">
        <v>355</v>
      </c>
      <c r="E110" s="122">
        <v>44025</v>
      </c>
      <c r="F110" s="1" t="s">
        <v>356</v>
      </c>
      <c r="G110" s="4" t="s">
        <v>357</v>
      </c>
      <c r="H110" s="38"/>
      <c r="I110" s="113"/>
      <c r="J110" s="79"/>
      <c r="K110" s="57"/>
      <c r="L110" s="13">
        <v>4800</v>
      </c>
      <c r="M110" s="36" t="s">
        <v>143</v>
      </c>
    </row>
    <row r="111" spans="1:13" s="123" customFormat="1" ht="99.95" customHeight="1">
      <c r="A111" s="9">
        <v>106</v>
      </c>
      <c r="B111" s="8" t="s">
        <v>358</v>
      </c>
      <c r="C111" s="15" t="s">
        <v>87</v>
      </c>
      <c r="D111" s="4" t="s">
        <v>359</v>
      </c>
      <c r="E111" s="122">
        <v>44035</v>
      </c>
      <c r="F111" s="1" t="s">
        <v>360</v>
      </c>
      <c r="G111" s="124" t="s">
        <v>361</v>
      </c>
      <c r="H111" s="38"/>
      <c r="I111" s="113"/>
      <c r="J111" s="79"/>
      <c r="K111" s="57"/>
      <c r="L111" s="13">
        <v>2137.6</v>
      </c>
      <c r="M111" s="36" t="s">
        <v>143</v>
      </c>
    </row>
    <row r="112" spans="1:13" ht="99.95" customHeight="1">
      <c r="A112" s="9">
        <v>107</v>
      </c>
      <c r="B112" s="8" t="s">
        <v>373</v>
      </c>
      <c r="C112" s="15">
        <v>13278150159</v>
      </c>
      <c r="D112" s="4" t="s">
        <v>374</v>
      </c>
      <c r="E112" s="122">
        <v>44141</v>
      </c>
      <c r="F112" s="1" t="s">
        <v>385</v>
      </c>
      <c r="G112" s="124" t="s">
        <v>384</v>
      </c>
      <c r="H112" s="120" t="s">
        <v>608</v>
      </c>
      <c r="I112" s="113">
        <v>44692</v>
      </c>
      <c r="J112" s="79" t="s">
        <v>557</v>
      </c>
      <c r="K112" s="57">
        <v>6261.29</v>
      </c>
      <c r="L112" s="57">
        <v>6261.29</v>
      </c>
      <c r="M112" s="36" t="s">
        <v>143</v>
      </c>
    </row>
    <row r="113" spans="1:13" ht="99.95" customHeight="1">
      <c r="A113" s="9">
        <v>108</v>
      </c>
      <c r="B113" s="8" t="s">
        <v>375</v>
      </c>
      <c r="C113" s="25" t="s">
        <v>376</v>
      </c>
      <c r="D113" s="4" t="s">
        <v>377</v>
      </c>
      <c r="E113" s="12">
        <v>44105</v>
      </c>
      <c r="F113" s="12" t="s">
        <v>109</v>
      </c>
      <c r="G113" s="82" t="s">
        <v>378</v>
      </c>
      <c r="H113" s="82"/>
      <c r="I113" s="96"/>
      <c r="J113" s="79"/>
      <c r="K113" s="29">
        <f>903.19+903.19+903.19+903.19</f>
        <v>3612.76</v>
      </c>
      <c r="L113" s="29">
        <f>903.19+903.19+903.19+903.19+903.19+903.19+903.19+903.19+903.19+903.19+903.19+903.19+903.19+903.19+903.19+903.19+903.19+903.19</f>
        <v>16257.420000000007</v>
      </c>
      <c r="M113" s="36" t="s">
        <v>142</v>
      </c>
    </row>
    <row r="114" spans="1:13" ht="99.95" customHeight="1">
      <c r="A114" s="9">
        <v>109</v>
      </c>
      <c r="B114" s="8" t="s">
        <v>379</v>
      </c>
      <c r="C114" s="149" t="s">
        <v>380</v>
      </c>
      <c r="D114" s="150" t="s">
        <v>381</v>
      </c>
      <c r="E114" s="151">
        <v>44106</v>
      </c>
      <c r="F114" s="152" t="s">
        <v>382</v>
      </c>
      <c r="G114" s="153" t="s">
        <v>383</v>
      </c>
      <c r="H114" s="153"/>
      <c r="I114" s="154"/>
      <c r="J114" s="155"/>
      <c r="K114" s="156"/>
      <c r="L114" s="156">
        <v>3300</v>
      </c>
      <c r="M114" s="157" t="s">
        <v>143</v>
      </c>
    </row>
    <row r="115" spans="1:13" ht="99.95" customHeight="1">
      <c r="A115" s="9">
        <v>110</v>
      </c>
      <c r="B115" s="23" t="s">
        <v>388</v>
      </c>
      <c r="C115" s="92" t="s">
        <v>386</v>
      </c>
      <c r="D115" s="4" t="s">
        <v>387</v>
      </c>
      <c r="E115" s="161" t="s">
        <v>595</v>
      </c>
      <c r="F115" s="127" t="s">
        <v>596</v>
      </c>
      <c r="G115" s="120" t="s">
        <v>597</v>
      </c>
      <c r="H115" s="4"/>
      <c r="I115" s="12"/>
      <c r="J115" s="68"/>
      <c r="K115" s="29">
        <f>2974.4+92.95+2472.47+3058.06</f>
        <v>8597.8799999999992</v>
      </c>
      <c r="L115" s="29">
        <f>83.66+966.68+1431.43+316.03+213.79+2202.92+1710.28-139.43+92.95+250.97+1849.71+2072.79+2202.92+232.37+632.06+2732.73+2398.11+2472.47+111.54+1775.35+65.07+148.72+2853.57+1691.69+2974.4+92.95+2472.47+3058.06</f>
        <v>36966.26</v>
      </c>
      <c r="M115" s="36" t="s">
        <v>142</v>
      </c>
    </row>
    <row r="116" spans="1:13" ht="99.95" customHeight="1">
      <c r="A116" s="9">
        <v>111</v>
      </c>
      <c r="B116" s="23" t="s">
        <v>389</v>
      </c>
      <c r="C116" s="92" t="s">
        <v>390</v>
      </c>
      <c r="D116" s="4" t="s">
        <v>391</v>
      </c>
      <c r="E116" s="88">
        <v>44152</v>
      </c>
      <c r="F116" s="127" t="s">
        <v>392</v>
      </c>
      <c r="G116" s="120" t="s">
        <v>393</v>
      </c>
      <c r="H116" s="4"/>
      <c r="I116" s="12"/>
      <c r="J116" s="68"/>
      <c r="K116" s="29"/>
      <c r="L116" s="29">
        <v>6412.8</v>
      </c>
      <c r="M116" s="36" t="s">
        <v>143</v>
      </c>
    </row>
    <row r="117" spans="1:13" ht="99.95" customHeight="1">
      <c r="A117" s="9">
        <v>112</v>
      </c>
      <c r="B117" s="8" t="s">
        <v>28</v>
      </c>
      <c r="C117" s="14">
        <v>7583180968</v>
      </c>
      <c r="D117" s="4" t="s">
        <v>394</v>
      </c>
      <c r="E117" s="34">
        <v>44161</v>
      </c>
      <c r="F117" s="46" t="s">
        <v>395</v>
      </c>
      <c r="G117" s="102" t="s">
        <v>396</v>
      </c>
      <c r="H117" s="67"/>
      <c r="I117" s="103"/>
      <c r="J117" s="79"/>
      <c r="K117" s="57"/>
      <c r="L117" s="63">
        <v>7374.72</v>
      </c>
      <c r="M117" s="36" t="s">
        <v>143</v>
      </c>
    </row>
    <row r="118" spans="1:13" ht="99.95" customHeight="1">
      <c r="A118" s="9">
        <v>113</v>
      </c>
      <c r="B118" s="8" t="s">
        <v>443</v>
      </c>
      <c r="C118" s="14">
        <v>80104190154</v>
      </c>
      <c r="D118" s="4" t="s">
        <v>466</v>
      </c>
      <c r="E118" s="34">
        <v>44165</v>
      </c>
      <c r="F118" s="46" t="s">
        <v>397</v>
      </c>
      <c r="G118" s="102" t="s">
        <v>398</v>
      </c>
      <c r="H118" s="67"/>
      <c r="I118" s="103"/>
      <c r="J118" s="79"/>
      <c r="K118" s="57">
        <f>2638.83+2638.83+2638.83</f>
        <v>7916.49</v>
      </c>
      <c r="L118" s="57">
        <f>2638.83+2638.83+2638.83+2638.83+2638.83+80+2638.83+2638.83+2638.83+2638.83+2638.83+2638.83+2638.83+2638.83+2638.83+2638+83+2638+83</f>
        <v>42465.62000000001</v>
      </c>
      <c r="M118" s="36" t="s">
        <v>142</v>
      </c>
    </row>
    <row r="119" spans="1:13" ht="99.95" customHeight="1">
      <c r="A119" s="9">
        <v>114</v>
      </c>
      <c r="B119" s="8" t="s">
        <v>399</v>
      </c>
      <c r="C119" s="25" t="s">
        <v>403</v>
      </c>
      <c r="D119" s="4" t="s">
        <v>400</v>
      </c>
      <c r="E119" s="34">
        <v>44166</v>
      </c>
      <c r="F119" s="46" t="s">
        <v>401</v>
      </c>
      <c r="G119" s="102" t="s">
        <v>402</v>
      </c>
      <c r="H119" s="67"/>
      <c r="I119" s="103"/>
      <c r="J119" s="79"/>
      <c r="K119" s="57">
        <f>3122+3122+3122+3122</f>
        <v>12488</v>
      </c>
      <c r="L119" s="57">
        <f>3122+3122+3122+3122</f>
        <v>12488</v>
      </c>
      <c r="M119" s="36" t="s">
        <v>142</v>
      </c>
    </row>
    <row r="120" spans="1:13" ht="99.95" customHeight="1">
      <c r="A120" s="9">
        <v>115</v>
      </c>
      <c r="B120" s="8" t="s">
        <v>404</v>
      </c>
      <c r="C120" s="14">
        <v>80149630156</v>
      </c>
      <c r="D120" s="4" t="s">
        <v>405</v>
      </c>
      <c r="E120" s="34">
        <v>44165</v>
      </c>
      <c r="F120" s="46" t="s">
        <v>406</v>
      </c>
      <c r="G120" s="102" t="s">
        <v>398</v>
      </c>
      <c r="H120" s="67"/>
      <c r="I120" s="103"/>
      <c r="J120" s="79"/>
      <c r="K120" s="63">
        <f>935.61+2211.44</f>
        <v>3147.05</v>
      </c>
      <c r="L120" s="63">
        <f>2211.44+2211.44+2211.44+2211.44+2211.44+2211.44+2211.44+2211.44+2211.44+2211.44+2211.44+2211.44+2211.44+2211.44+2211.44+2211.44+2211.44+935.61+2211.44</f>
        <v>40741.53</v>
      </c>
      <c r="M120" s="36" t="s">
        <v>142</v>
      </c>
    </row>
    <row r="121" spans="1:13" ht="99.95" customHeight="1">
      <c r="A121" s="9">
        <v>116</v>
      </c>
      <c r="B121" s="8" t="s">
        <v>407</v>
      </c>
      <c r="C121" s="14">
        <v>97229620154</v>
      </c>
      <c r="D121" s="4" t="s">
        <v>408</v>
      </c>
      <c r="E121" s="34">
        <v>44176</v>
      </c>
      <c r="F121" s="46" t="s">
        <v>409</v>
      </c>
      <c r="G121" s="102" t="s">
        <v>398</v>
      </c>
      <c r="H121" s="67"/>
      <c r="I121" s="103"/>
      <c r="J121" s="79"/>
      <c r="K121" s="57">
        <f>2075.71+1955.59+2103.97</f>
        <v>6135.27</v>
      </c>
      <c r="L121" s="63">
        <f>1234.7+2015.29+2025.61+2025.7+2104.06+1745.21+1745.3+2073.53+2103.97+2025.7+2025.69+2103.97+2186.98+2025.71+2082.04+2075.71+1955.59+2103.97</f>
        <v>35658.729999999996</v>
      </c>
      <c r="M121" s="36" t="s">
        <v>142</v>
      </c>
    </row>
    <row r="122" spans="1:13" ht="99.95" customHeight="1">
      <c r="A122" s="9">
        <v>117</v>
      </c>
      <c r="B122" s="8" t="s">
        <v>410</v>
      </c>
      <c r="C122" s="25" t="s">
        <v>559</v>
      </c>
      <c r="D122" s="4" t="s">
        <v>45</v>
      </c>
      <c r="E122" s="3">
        <v>44168</v>
      </c>
      <c r="F122" s="3" t="s">
        <v>411</v>
      </c>
      <c r="G122" s="4" t="s">
        <v>37</v>
      </c>
      <c r="H122" s="67"/>
      <c r="I122" s="103"/>
      <c r="J122" s="79"/>
      <c r="K122" s="57"/>
      <c r="L122" s="13"/>
      <c r="M122" s="36" t="s">
        <v>142</v>
      </c>
    </row>
    <row r="123" spans="1:13" ht="99.95" customHeight="1">
      <c r="A123" s="9">
        <v>118</v>
      </c>
      <c r="B123" s="8" t="s">
        <v>238</v>
      </c>
      <c r="C123" s="25" t="s">
        <v>239</v>
      </c>
      <c r="D123" s="4" t="s">
        <v>412</v>
      </c>
      <c r="E123" s="31">
        <v>44201</v>
      </c>
      <c r="F123" s="46" t="s">
        <v>413</v>
      </c>
      <c r="G123" s="38" t="s">
        <v>414</v>
      </c>
      <c r="H123" s="38"/>
      <c r="I123" s="113"/>
      <c r="J123" s="79"/>
      <c r="K123" s="51"/>
      <c r="L123" s="51">
        <v>8051</v>
      </c>
      <c r="M123" s="1" t="s">
        <v>143</v>
      </c>
    </row>
    <row r="124" spans="1:13" ht="99.95" customHeight="1">
      <c r="A124" s="9">
        <v>119</v>
      </c>
      <c r="B124" s="8" t="s">
        <v>415</v>
      </c>
      <c r="C124" s="25" t="s">
        <v>416</v>
      </c>
      <c r="D124" s="4" t="s">
        <v>475</v>
      </c>
      <c r="E124" s="31">
        <v>44200</v>
      </c>
      <c r="F124" s="46" t="s">
        <v>434</v>
      </c>
      <c r="G124" s="38" t="s">
        <v>417</v>
      </c>
      <c r="H124" s="38"/>
      <c r="I124" s="113"/>
      <c r="J124" s="79"/>
      <c r="K124" s="51"/>
      <c r="L124" s="13">
        <f>12291.2+14749.44</f>
        <v>27040.639999999999</v>
      </c>
      <c r="M124" s="36" t="s">
        <v>517</v>
      </c>
    </row>
    <row r="125" spans="1:13" ht="99.95" customHeight="1">
      <c r="A125" s="9">
        <v>120</v>
      </c>
      <c r="B125" s="8" t="s">
        <v>420</v>
      </c>
      <c r="C125" s="15" t="s">
        <v>158</v>
      </c>
      <c r="D125" s="4" t="s">
        <v>418</v>
      </c>
      <c r="E125" s="122">
        <v>44211</v>
      </c>
      <c r="F125" s="1" t="s">
        <v>499</v>
      </c>
      <c r="G125" s="38" t="s">
        <v>419</v>
      </c>
      <c r="H125" s="120"/>
      <c r="I125" s="113"/>
      <c r="J125" s="79"/>
      <c r="K125" s="57"/>
      <c r="L125" s="13">
        <v>37408</v>
      </c>
      <c r="M125" s="36" t="s">
        <v>143</v>
      </c>
    </row>
    <row r="126" spans="1:13" ht="99.95" customHeight="1">
      <c r="A126" s="9">
        <v>121</v>
      </c>
      <c r="B126" s="8" t="s">
        <v>420</v>
      </c>
      <c r="C126" s="15" t="s">
        <v>158</v>
      </c>
      <c r="D126" s="4" t="s">
        <v>421</v>
      </c>
      <c r="E126" s="122">
        <v>44223</v>
      </c>
      <c r="F126" s="46" t="s">
        <v>413</v>
      </c>
      <c r="G126" s="38" t="s">
        <v>393</v>
      </c>
      <c r="H126" s="120"/>
      <c r="I126" s="113"/>
      <c r="J126" s="79"/>
      <c r="K126" s="57"/>
      <c r="L126" s="13">
        <v>6412.8</v>
      </c>
      <c r="M126" s="36" t="s">
        <v>143</v>
      </c>
    </row>
    <row r="127" spans="1:13" ht="99.95" customHeight="1">
      <c r="A127" s="9">
        <v>122</v>
      </c>
      <c r="B127" s="8" t="s">
        <v>10</v>
      </c>
      <c r="C127" s="104">
        <v>3049560166</v>
      </c>
      <c r="D127" s="105" t="s">
        <v>422</v>
      </c>
      <c r="E127" s="34">
        <v>44224</v>
      </c>
      <c r="F127" s="106" t="s">
        <v>318</v>
      </c>
      <c r="G127" s="107">
        <v>3000</v>
      </c>
      <c r="H127" s="38"/>
      <c r="I127" s="113"/>
      <c r="J127" s="79"/>
      <c r="K127" s="57"/>
      <c r="L127" s="13">
        <v>3000</v>
      </c>
      <c r="M127" s="36" t="s">
        <v>143</v>
      </c>
    </row>
    <row r="128" spans="1:13" ht="99.95" customHeight="1">
      <c r="A128" s="9">
        <v>123</v>
      </c>
      <c r="B128" s="8" t="s">
        <v>430</v>
      </c>
      <c r="C128" s="104" t="s">
        <v>431</v>
      </c>
      <c r="D128" s="4" t="s">
        <v>428</v>
      </c>
      <c r="E128" s="37" t="s">
        <v>464</v>
      </c>
      <c r="F128" s="94" t="s">
        <v>429</v>
      </c>
      <c r="G128" s="143" t="s">
        <v>465</v>
      </c>
      <c r="H128" s="38"/>
      <c r="I128" s="113"/>
      <c r="J128" s="79"/>
      <c r="K128" s="57"/>
      <c r="L128" s="57">
        <v>14629.2</v>
      </c>
      <c r="M128" s="36" t="s">
        <v>143</v>
      </c>
    </row>
    <row r="129" spans="1:13" ht="99.95" customHeight="1">
      <c r="A129" s="9">
        <v>124</v>
      </c>
      <c r="B129" s="8" t="s">
        <v>432</v>
      </c>
      <c r="C129" s="14">
        <v>12866070159</v>
      </c>
      <c r="D129" s="4" t="s">
        <v>433</v>
      </c>
      <c r="E129" s="3">
        <v>44256</v>
      </c>
      <c r="F129" s="46" t="s">
        <v>452</v>
      </c>
      <c r="G129" s="4" t="s">
        <v>536</v>
      </c>
      <c r="H129" s="42"/>
      <c r="I129" s="96"/>
      <c r="J129" s="73"/>
      <c r="K129" s="53"/>
      <c r="L129" s="53">
        <f>1347.41+4724.07</f>
        <v>6071.48</v>
      </c>
      <c r="M129" s="36" t="s">
        <v>143</v>
      </c>
    </row>
    <row r="130" spans="1:13" ht="99.95" customHeight="1">
      <c r="A130" s="9">
        <v>125</v>
      </c>
      <c r="B130" s="8" t="s">
        <v>415</v>
      </c>
      <c r="C130" s="25" t="s">
        <v>416</v>
      </c>
      <c r="D130" s="4" t="s">
        <v>435</v>
      </c>
      <c r="E130" s="31">
        <v>44263</v>
      </c>
      <c r="F130" s="138" t="s">
        <v>439</v>
      </c>
      <c r="G130" s="38" t="s">
        <v>436</v>
      </c>
      <c r="H130" s="42"/>
      <c r="I130" s="96"/>
      <c r="J130" s="73"/>
      <c r="K130" s="53"/>
      <c r="L130" s="53">
        <v>2067.13</v>
      </c>
      <c r="M130" s="36" t="s">
        <v>142</v>
      </c>
    </row>
    <row r="131" spans="1:13" ht="99.95" customHeight="1">
      <c r="A131" s="9">
        <v>126</v>
      </c>
      <c r="B131" s="8" t="s">
        <v>415</v>
      </c>
      <c r="C131" s="25" t="s">
        <v>416</v>
      </c>
      <c r="D131" s="4" t="s">
        <v>518</v>
      </c>
      <c r="E131" s="31">
        <v>44263</v>
      </c>
      <c r="F131" s="158" t="s">
        <v>437</v>
      </c>
      <c r="G131" s="38" t="s">
        <v>438</v>
      </c>
      <c r="H131" s="42"/>
      <c r="I131" s="96"/>
      <c r="J131" s="73"/>
      <c r="K131" s="53"/>
      <c r="L131" s="13">
        <v>5678.53</v>
      </c>
      <c r="M131" s="36" t="s">
        <v>143</v>
      </c>
    </row>
    <row r="132" spans="1:13" ht="99.95" customHeight="1">
      <c r="A132" s="9">
        <v>127</v>
      </c>
      <c r="B132" s="8" t="s">
        <v>420</v>
      </c>
      <c r="C132" s="15" t="s">
        <v>158</v>
      </c>
      <c r="D132" s="4" t="s">
        <v>440</v>
      </c>
      <c r="E132" s="122">
        <v>44280</v>
      </c>
      <c r="F132" s="46" t="s">
        <v>441</v>
      </c>
      <c r="G132" s="120" t="s">
        <v>442</v>
      </c>
      <c r="H132" s="38"/>
      <c r="I132" s="113"/>
      <c r="J132" s="79"/>
      <c r="K132" s="13"/>
      <c r="L132" s="13">
        <v>4275.2</v>
      </c>
      <c r="M132" s="36" t="s">
        <v>143</v>
      </c>
    </row>
    <row r="133" spans="1:13" s="123" customFormat="1" ht="99.95" customHeight="1">
      <c r="A133" s="9">
        <v>128</v>
      </c>
      <c r="B133" s="8" t="s">
        <v>132</v>
      </c>
      <c r="C133" s="25" t="s">
        <v>133</v>
      </c>
      <c r="D133" s="4" t="s">
        <v>446</v>
      </c>
      <c r="E133" s="32">
        <v>44300</v>
      </c>
      <c r="F133" s="141" t="s">
        <v>128</v>
      </c>
      <c r="G133" s="89" t="s">
        <v>447</v>
      </c>
      <c r="H133" s="38"/>
      <c r="I133" s="113"/>
      <c r="J133" s="79"/>
      <c r="K133" s="57">
        <f>248.38+248.38+248.38</f>
        <v>745.14</v>
      </c>
      <c r="L133" s="13">
        <f>384.57+248.38+248.38+248.38+248.38+248.38+248.38+248.38+248.38+248.38+248.38+248.38+248.38</f>
        <v>3365.130000000001</v>
      </c>
      <c r="M133" s="36" t="s">
        <v>142</v>
      </c>
    </row>
    <row r="134" spans="1:13" s="123" customFormat="1" ht="99.95" customHeight="1">
      <c r="A134" s="9">
        <v>129</v>
      </c>
      <c r="B134" s="8" t="s">
        <v>448</v>
      </c>
      <c r="C134" s="25" t="s">
        <v>200</v>
      </c>
      <c r="D134" s="4" t="s">
        <v>449</v>
      </c>
      <c r="E134" s="32">
        <v>44285</v>
      </c>
      <c r="F134" s="12" t="s">
        <v>450</v>
      </c>
      <c r="G134" s="140" t="s">
        <v>451</v>
      </c>
      <c r="H134" s="83"/>
      <c r="I134" s="103"/>
      <c r="J134" s="79"/>
      <c r="K134" s="57">
        <f>6.83+1670.96+1562.22+1761.93+7.29+7.67+1875.16+1753.13+1977.26+8.21</f>
        <v>10630.66</v>
      </c>
      <c r="L134" s="57">
        <f>41292.67+32885.86+34676.32+30745.69+134.5+143.75+17378.86+8017.3+8003.52+8320.61+7024.61+7231.42+8077.93+691.57+2061.48+6.71+1641.79+1534.94+1731.16+8.31+7.18+6.83+1670.96+1562.22+1761.93+7.29+7.67+1875.16+1753.13+1977.26+8.21</f>
        <v>222246.84000000003</v>
      </c>
      <c r="M134" s="36" t="s">
        <v>142</v>
      </c>
    </row>
    <row r="135" spans="1:13" ht="99.95" customHeight="1">
      <c r="A135" s="9">
        <v>130</v>
      </c>
      <c r="B135" s="8" t="s">
        <v>432</v>
      </c>
      <c r="C135" s="14">
        <v>12866070159</v>
      </c>
      <c r="D135" s="4" t="s">
        <v>453</v>
      </c>
      <c r="E135" s="3">
        <v>44302</v>
      </c>
      <c r="F135" s="46" t="s">
        <v>474</v>
      </c>
      <c r="G135" s="4" t="s">
        <v>536</v>
      </c>
      <c r="H135" s="42"/>
      <c r="I135" s="96"/>
      <c r="J135" s="73"/>
      <c r="K135" s="53"/>
      <c r="L135" s="53">
        <f>2067.13+3665.09</f>
        <v>5732.22</v>
      </c>
      <c r="M135" s="36" t="s">
        <v>143</v>
      </c>
    </row>
    <row r="136" spans="1:13" ht="99.95" customHeight="1">
      <c r="A136" s="9">
        <v>131</v>
      </c>
      <c r="B136" s="8" t="s">
        <v>456</v>
      </c>
      <c r="C136" s="14">
        <v>2073640134</v>
      </c>
      <c r="D136" s="4" t="s">
        <v>457</v>
      </c>
      <c r="E136" s="3">
        <v>44334</v>
      </c>
      <c r="F136" s="46" t="s">
        <v>401</v>
      </c>
      <c r="G136" s="4" t="s">
        <v>458</v>
      </c>
      <c r="H136" s="42"/>
      <c r="I136" s="96"/>
      <c r="J136" s="73"/>
      <c r="K136" s="53"/>
      <c r="L136" s="13"/>
      <c r="M136" s="36" t="s">
        <v>142</v>
      </c>
    </row>
    <row r="137" spans="1:13" ht="99.95" customHeight="1">
      <c r="A137" s="9">
        <v>132</v>
      </c>
      <c r="B137" s="8" t="s">
        <v>459</v>
      </c>
      <c r="C137" s="14" t="s">
        <v>460</v>
      </c>
      <c r="D137" s="4" t="s">
        <v>461</v>
      </c>
      <c r="E137" s="3">
        <v>44334</v>
      </c>
      <c r="F137" s="46" t="s">
        <v>462</v>
      </c>
      <c r="G137" s="4" t="s">
        <v>463</v>
      </c>
      <c r="H137" s="42"/>
      <c r="I137" s="96"/>
      <c r="J137" s="73"/>
      <c r="K137" s="53"/>
      <c r="L137" s="13"/>
      <c r="M137" s="36" t="s">
        <v>142</v>
      </c>
    </row>
    <row r="138" spans="1:13" ht="99.95" customHeight="1">
      <c r="A138" s="9">
        <v>133</v>
      </c>
      <c r="B138" s="8" t="s">
        <v>497</v>
      </c>
      <c r="C138" s="15" t="s">
        <v>498</v>
      </c>
      <c r="D138" s="30" t="s">
        <v>130</v>
      </c>
      <c r="E138" s="34">
        <v>44355</v>
      </c>
      <c r="F138" s="127" t="s">
        <v>468</v>
      </c>
      <c r="G138" s="4" t="s">
        <v>467</v>
      </c>
      <c r="H138" s="100"/>
      <c r="I138" s="116"/>
      <c r="J138" s="68"/>
      <c r="K138" s="29"/>
      <c r="L138" s="63">
        <f>5875+5875</f>
        <v>11750</v>
      </c>
      <c r="M138" s="36" t="s">
        <v>142</v>
      </c>
    </row>
    <row r="139" spans="1:13" ht="99.95" customHeight="1">
      <c r="A139" s="9">
        <v>134</v>
      </c>
      <c r="B139" s="8" t="s">
        <v>415</v>
      </c>
      <c r="C139" s="25" t="s">
        <v>416</v>
      </c>
      <c r="D139" s="4" t="s">
        <v>469</v>
      </c>
      <c r="E139" s="31">
        <v>44414</v>
      </c>
      <c r="F139" s="12" t="s">
        <v>439</v>
      </c>
      <c r="G139" s="38" t="s">
        <v>470</v>
      </c>
      <c r="H139" s="42"/>
      <c r="I139" s="96"/>
      <c r="J139" s="73"/>
      <c r="K139" s="53"/>
      <c r="L139" s="13">
        <v>2458.2399999999998</v>
      </c>
      <c r="M139" s="36" t="s">
        <v>143</v>
      </c>
    </row>
    <row r="140" spans="1:13" ht="99.95" customHeight="1">
      <c r="A140" s="9">
        <v>135</v>
      </c>
      <c r="B140" s="8" t="s">
        <v>354</v>
      </c>
      <c r="C140" s="15">
        <v>12265560016</v>
      </c>
      <c r="D140" s="4" t="s">
        <v>471</v>
      </c>
      <c r="E140" s="122">
        <v>44364</v>
      </c>
      <c r="F140" s="1" t="s">
        <v>472</v>
      </c>
      <c r="G140" s="4" t="s">
        <v>473</v>
      </c>
      <c r="H140" s="38"/>
      <c r="I140" s="113"/>
      <c r="J140" s="79"/>
      <c r="K140" s="57">
        <v>2750</v>
      </c>
      <c r="L140" s="13">
        <v>2750</v>
      </c>
      <c r="M140" s="36" t="s">
        <v>142</v>
      </c>
    </row>
    <row r="141" spans="1:13" ht="99.95" customHeight="1">
      <c r="A141" s="9">
        <v>136</v>
      </c>
      <c r="B141" s="8" t="s">
        <v>415</v>
      </c>
      <c r="C141" s="25" t="s">
        <v>416</v>
      </c>
      <c r="D141" s="4" t="s">
        <v>476</v>
      </c>
      <c r="E141" s="31">
        <v>44370</v>
      </c>
      <c r="F141" s="12" t="s">
        <v>439</v>
      </c>
      <c r="G141" s="120" t="s">
        <v>477</v>
      </c>
      <c r="H141" s="42"/>
      <c r="I141" s="96"/>
      <c r="J141" s="73"/>
      <c r="K141" s="53"/>
      <c r="L141" s="13">
        <f>1496.13+844.78</f>
        <v>2340.91</v>
      </c>
      <c r="M141" s="36" t="s">
        <v>143</v>
      </c>
    </row>
    <row r="142" spans="1:13" ht="99.95" customHeight="1">
      <c r="A142" s="9">
        <v>137</v>
      </c>
      <c r="B142" s="8" t="s">
        <v>529</v>
      </c>
      <c r="C142" s="25" t="s">
        <v>478</v>
      </c>
      <c r="D142" s="4" t="s">
        <v>112</v>
      </c>
      <c r="E142" s="3">
        <v>44384</v>
      </c>
      <c r="F142" s="4" t="s">
        <v>528</v>
      </c>
      <c r="G142" s="4" t="s">
        <v>479</v>
      </c>
      <c r="H142" s="4"/>
      <c r="I142" s="46"/>
      <c r="J142" s="71"/>
      <c r="K142" s="52">
        <f>5000+1336</f>
        <v>6336</v>
      </c>
      <c r="L142" s="13">
        <f>5000+1336+5000+1336+5000+1336</f>
        <v>19008</v>
      </c>
      <c r="M142" s="1" t="s">
        <v>142</v>
      </c>
    </row>
    <row r="143" spans="1:13" ht="99.95" customHeight="1">
      <c r="A143" s="9">
        <v>138</v>
      </c>
      <c r="B143" s="8" t="s">
        <v>481</v>
      </c>
      <c r="C143" s="25" t="s">
        <v>482</v>
      </c>
      <c r="D143" s="4" t="s">
        <v>480</v>
      </c>
      <c r="E143" s="3">
        <v>44383</v>
      </c>
      <c r="F143" s="162" t="s">
        <v>439</v>
      </c>
      <c r="G143" s="4" t="s">
        <v>463</v>
      </c>
      <c r="H143" s="4"/>
      <c r="I143" s="46"/>
      <c r="J143" s="71"/>
      <c r="K143" s="52"/>
      <c r="L143" s="13"/>
      <c r="M143" s="1" t="s">
        <v>142</v>
      </c>
    </row>
    <row r="144" spans="1:13" ht="76.5" customHeight="1">
      <c r="A144" s="9">
        <v>139</v>
      </c>
      <c r="B144" s="8" t="s">
        <v>485</v>
      </c>
      <c r="C144" s="25" t="s">
        <v>486</v>
      </c>
      <c r="D144" s="4" t="s">
        <v>621</v>
      </c>
      <c r="E144" s="145">
        <v>44397</v>
      </c>
      <c r="F144" s="12" t="s">
        <v>487</v>
      </c>
      <c r="G144" s="146" t="s">
        <v>488</v>
      </c>
      <c r="H144" s="4" t="s">
        <v>622</v>
      </c>
      <c r="I144" s="46">
        <v>44733</v>
      </c>
      <c r="J144" s="71" t="s">
        <v>557</v>
      </c>
      <c r="K144" s="52">
        <v>10766.83</v>
      </c>
      <c r="L144" s="52">
        <v>10766.83</v>
      </c>
      <c r="M144" s="36" t="s">
        <v>142</v>
      </c>
    </row>
    <row r="145" spans="1:13" ht="99.95" customHeight="1">
      <c r="A145" s="9">
        <v>140</v>
      </c>
      <c r="B145" s="8" t="s">
        <v>122</v>
      </c>
      <c r="C145" s="15" t="s">
        <v>489</v>
      </c>
      <c r="D145" s="4" t="s">
        <v>490</v>
      </c>
      <c r="E145" s="122">
        <v>44397</v>
      </c>
      <c r="F145" s="163" t="s">
        <v>491</v>
      </c>
      <c r="G145" s="4" t="s">
        <v>492</v>
      </c>
      <c r="H145" s="4"/>
      <c r="I145" s="46"/>
      <c r="J145" s="71"/>
      <c r="K145" s="52">
        <v>2875</v>
      </c>
      <c r="L145" s="13">
        <f>11500+2875</f>
        <v>14375</v>
      </c>
      <c r="M145" s="36" t="s">
        <v>142</v>
      </c>
    </row>
    <row r="146" spans="1:13" ht="99.95" customHeight="1">
      <c r="A146" s="9">
        <v>141</v>
      </c>
      <c r="B146" s="8" t="s">
        <v>20</v>
      </c>
      <c r="C146" s="15">
        <v>2309220602</v>
      </c>
      <c r="D146" s="4" t="s">
        <v>493</v>
      </c>
      <c r="E146" s="122">
        <v>44397</v>
      </c>
      <c r="F146" s="1" t="s">
        <v>487</v>
      </c>
      <c r="G146" s="4" t="s">
        <v>494</v>
      </c>
      <c r="H146" s="4"/>
      <c r="I146" s="46"/>
      <c r="J146" s="71"/>
      <c r="K146" s="52"/>
      <c r="L146" s="13"/>
      <c r="M146" s="36" t="s">
        <v>142</v>
      </c>
    </row>
    <row r="147" spans="1:13" ht="99.95" customHeight="1">
      <c r="A147" s="9">
        <v>142</v>
      </c>
      <c r="B147" s="8" t="s">
        <v>504</v>
      </c>
      <c r="C147" s="15" t="s">
        <v>505</v>
      </c>
      <c r="D147" s="4" t="s">
        <v>506</v>
      </c>
      <c r="E147" s="122">
        <v>44445</v>
      </c>
      <c r="F147" s="1" t="s">
        <v>511</v>
      </c>
      <c r="G147" s="4" t="s">
        <v>507</v>
      </c>
      <c r="H147" s="4"/>
      <c r="I147" s="46"/>
      <c r="J147" s="71"/>
      <c r="K147" s="52"/>
      <c r="L147" s="13">
        <v>16032</v>
      </c>
      <c r="M147" s="36" t="s">
        <v>143</v>
      </c>
    </row>
    <row r="148" spans="1:13" ht="183">
      <c r="A148" s="9">
        <v>143</v>
      </c>
      <c r="B148" s="8" t="s">
        <v>508</v>
      </c>
      <c r="C148" s="15" t="s">
        <v>509</v>
      </c>
      <c r="D148" s="4" t="s">
        <v>510</v>
      </c>
      <c r="E148" s="122">
        <v>44467</v>
      </c>
      <c r="F148" s="1" t="s">
        <v>511</v>
      </c>
      <c r="G148" s="4" t="s">
        <v>512</v>
      </c>
      <c r="H148" s="4"/>
      <c r="I148" s="46"/>
      <c r="J148" s="71"/>
      <c r="K148" s="52"/>
      <c r="L148" s="13"/>
      <c r="M148" s="36" t="s">
        <v>142</v>
      </c>
    </row>
    <row r="149" spans="1:13" ht="99.95" customHeight="1">
      <c r="A149" s="9">
        <v>144</v>
      </c>
      <c r="B149" s="8" t="s">
        <v>420</v>
      </c>
      <c r="C149" s="15" t="s">
        <v>158</v>
      </c>
      <c r="D149" s="4" t="s">
        <v>519</v>
      </c>
      <c r="E149" s="122">
        <v>44490</v>
      </c>
      <c r="F149" s="1" t="s">
        <v>520</v>
      </c>
      <c r="G149" s="38" t="s">
        <v>521</v>
      </c>
      <c r="H149" s="120" t="s">
        <v>630</v>
      </c>
      <c r="I149" s="103">
        <v>44741</v>
      </c>
      <c r="J149" s="79" t="s">
        <v>557</v>
      </c>
      <c r="K149" s="57">
        <v>54508.800000000003</v>
      </c>
      <c r="L149" s="57">
        <f>9084.8+9084.8+9084.8+9084.8+54508.8</f>
        <v>90848</v>
      </c>
      <c r="M149" s="36" t="s">
        <v>142</v>
      </c>
    </row>
    <row r="150" spans="1:13" ht="99.95" customHeight="1">
      <c r="A150" s="9">
        <v>145</v>
      </c>
      <c r="B150" s="8" t="s">
        <v>10</v>
      </c>
      <c r="C150" s="104">
        <v>3049560166</v>
      </c>
      <c r="D150" s="105" t="s">
        <v>522</v>
      </c>
      <c r="E150" s="34">
        <v>44487</v>
      </c>
      <c r="F150" s="106" t="s">
        <v>523</v>
      </c>
      <c r="G150" s="107">
        <v>3000</v>
      </c>
      <c r="H150" s="38"/>
      <c r="I150" s="113"/>
      <c r="J150" s="79"/>
      <c r="K150" s="57"/>
      <c r="L150" s="13"/>
      <c r="M150" s="36" t="s">
        <v>142</v>
      </c>
    </row>
    <row r="151" spans="1:13" ht="99.95" customHeight="1">
      <c r="A151" s="9">
        <v>146</v>
      </c>
      <c r="B151" s="8" t="s">
        <v>459</v>
      </c>
      <c r="C151" s="14" t="s">
        <v>460</v>
      </c>
      <c r="D151" s="4" t="s">
        <v>524</v>
      </c>
      <c r="E151" s="3">
        <v>44490</v>
      </c>
      <c r="F151" s="46" t="s">
        <v>462</v>
      </c>
      <c r="G151" s="4" t="s">
        <v>525</v>
      </c>
      <c r="H151" s="42"/>
      <c r="I151" s="96"/>
      <c r="J151" s="73"/>
      <c r="K151" s="53"/>
      <c r="L151" s="13"/>
      <c r="M151" s="36" t="s">
        <v>142</v>
      </c>
    </row>
    <row r="152" spans="1:13" ht="99.95" customHeight="1">
      <c r="A152" s="9">
        <v>147</v>
      </c>
      <c r="B152" s="8" t="s">
        <v>211</v>
      </c>
      <c r="C152" s="25" t="s">
        <v>212</v>
      </c>
      <c r="D152" s="28" t="s">
        <v>213</v>
      </c>
      <c r="E152" s="31">
        <v>44494</v>
      </c>
      <c r="F152" s="62" t="s">
        <v>526</v>
      </c>
      <c r="G152" s="107">
        <v>7500</v>
      </c>
      <c r="H152" s="13"/>
      <c r="I152" s="115"/>
      <c r="J152" s="79"/>
      <c r="K152" s="51">
        <v>3750.02</v>
      </c>
      <c r="L152" s="13">
        <v>3750.02</v>
      </c>
      <c r="M152" s="36" t="s">
        <v>142</v>
      </c>
    </row>
    <row r="153" spans="1:13" ht="99.95" customHeight="1">
      <c r="A153" s="9">
        <v>148</v>
      </c>
      <c r="B153" s="8" t="s">
        <v>432</v>
      </c>
      <c r="C153" s="14">
        <v>12866070159</v>
      </c>
      <c r="D153" s="4" t="s">
        <v>534</v>
      </c>
      <c r="E153" s="31">
        <v>44523</v>
      </c>
      <c r="F153" s="106" t="s">
        <v>535</v>
      </c>
      <c r="G153" s="4" t="s">
        <v>536</v>
      </c>
      <c r="H153" s="13"/>
      <c r="I153" s="115"/>
      <c r="J153" s="79"/>
      <c r="K153" s="51">
        <f>4437.33+3760.37+4438.76</f>
        <v>12636.460000000001</v>
      </c>
      <c r="L153" s="13">
        <f>392.93+3274.64+4142.03+3952.13+4437.33+3760.37+4438.76</f>
        <v>24398.190000000002</v>
      </c>
      <c r="M153" s="36" t="s">
        <v>142</v>
      </c>
    </row>
    <row r="154" spans="1:13" ht="99.95" customHeight="1">
      <c r="A154" s="9">
        <v>149</v>
      </c>
      <c r="B154" s="8" t="s">
        <v>219</v>
      </c>
      <c r="C154" s="14">
        <v>1850570746</v>
      </c>
      <c r="D154" s="4" t="s">
        <v>220</v>
      </c>
      <c r="E154" s="31">
        <v>44544</v>
      </c>
      <c r="F154" s="12" t="s">
        <v>531</v>
      </c>
      <c r="G154" s="64" t="s">
        <v>530</v>
      </c>
      <c r="H154" s="64"/>
      <c r="I154" s="118"/>
      <c r="J154" s="79"/>
      <c r="K154" s="51"/>
      <c r="L154" s="29">
        <v>8550</v>
      </c>
      <c r="M154" s="1" t="s">
        <v>142</v>
      </c>
    </row>
    <row r="155" spans="1:13" ht="99.95" customHeight="1">
      <c r="A155" s="9">
        <v>150</v>
      </c>
      <c r="B155" s="8" t="s">
        <v>508</v>
      </c>
      <c r="C155" s="15" t="s">
        <v>509</v>
      </c>
      <c r="D155" s="4" t="s">
        <v>532</v>
      </c>
      <c r="E155" s="122">
        <v>44566</v>
      </c>
      <c r="F155" s="4" t="s">
        <v>533</v>
      </c>
      <c r="G155" s="4" t="s">
        <v>540</v>
      </c>
      <c r="H155" s="64"/>
      <c r="I155" s="118"/>
      <c r="J155" s="79"/>
      <c r="K155" s="51"/>
      <c r="L155" s="29"/>
      <c r="M155" s="36" t="s">
        <v>142</v>
      </c>
    </row>
    <row r="156" spans="1:13" ht="99.95" customHeight="1">
      <c r="A156" s="9">
        <v>151</v>
      </c>
      <c r="B156" s="8" t="s">
        <v>545</v>
      </c>
      <c r="C156" s="25" t="s">
        <v>546</v>
      </c>
      <c r="D156" s="4" t="s">
        <v>547</v>
      </c>
      <c r="E156" s="12">
        <v>44578</v>
      </c>
      <c r="F156" s="12" t="s">
        <v>548</v>
      </c>
      <c r="G156" s="65" t="s">
        <v>549</v>
      </c>
      <c r="H156" s="65"/>
      <c r="I156" s="115"/>
      <c r="J156" s="51"/>
      <c r="K156" s="51">
        <v>1568.38</v>
      </c>
      <c r="L156" s="13">
        <f>270+3421.04+1568.38</f>
        <v>5259.42</v>
      </c>
      <c r="M156" s="36" t="s">
        <v>142</v>
      </c>
    </row>
    <row r="157" spans="1:13" ht="99.95" customHeight="1">
      <c r="A157" s="9">
        <v>152</v>
      </c>
      <c r="B157" s="8" t="s">
        <v>415</v>
      </c>
      <c r="C157" s="25" t="s">
        <v>416</v>
      </c>
      <c r="D157" s="4" t="s">
        <v>558</v>
      </c>
      <c r="E157" s="31">
        <v>44586</v>
      </c>
      <c r="F157" s="12" t="s">
        <v>538</v>
      </c>
      <c r="G157" s="4" t="s">
        <v>539</v>
      </c>
      <c r="H157" s="42"/>
      <c r="I157" s="96"/>
      <c r="J157" s="73"/>
      <c r="K157" s="53"/>
      <c r="L157" s="13">
        <v>2654.9</v>
      </c>
      <c r="M157" s="36" t="s">
        <v>143</v>
      </c>
    </row>
    <row r="158" spans="1:13" ht="99.95" customHeight="1">
      <c r="A158" s="9">
        <v>153</v>
      </c>
      <c r="B158" s="8" t="s">
        <v>508</v>
      </c>
      <c r="C158" s="15" t="s">
        <v>509</v>
      </c>
      <c r="D158" s="4" t="s">
        <v>541</v>
      </c>
      <c r="E158" s="122">
        <v>44531</v>
      </c>
      <c r="F158" s="4" t="s">
        <v>533</v>
      </c>
      <c r="G158" s="5" t="s">
        <v>556</v>
      </c>
      <c r="H158" s="64" t="s">
        <v>605</v>
      </c>
      <c r="I158" s="118">
        <v>44690</v>
      </c>
      <c r="J158" s="79" t="s">
        <v>557</v>
      </c>
      <c r="K158" s="51">
        <v>8235.1</v>
      </c>
      <c r="L158" s="51">
        <v>8235.1</v>
      </c>
      <c r="M158" s="36" t="s">
        <v>143</v>
      </c>
    </row>
    <row r="159" spans="1:13" ht="199.5" customHeight="1">
      <c r="A159" s="9">
        <v>154</v>
      </c>
      <c r="B159" s="8" t="s">
        <v>234</v>
      </c>
      <c r="C159" s="25" t="s">
        <v>550</v>
      </c>
      <c r="D159" s="5" t="s">
        <v>551</v>
      </c>
      <c r="E159" s="12">
        <v>44592</v>
      </c>
      <c r="F159" s="46" t="s">
        <v>552</v>
      </c>
      <c r="G159" s="5" t="s">
        <v>553</v>
      </c>
      <c r="H159" s="64" t="s">
        <v>609</v>
      </c>
      <c r="I159" s="46">
        <v>44704</v>
      </c>
      <c r="J159" s="79" t="s">
        <v>557</v>
      </c>
      <c r="K159" s="51">
        <v>14400</v>
      </c>
      <c r="L159" s="13">
        <f>7200+3500+14400</f>
        <v>25100</v>
      </c>
      <c r="M159" s="36" t="s">
        <v>142</v>
      </c>
    </row>
    <row r="160" spans="1:13" ht="99.95" customHeight="1">
      <c r="A160" s="9">
        <v>155</v>
      </c>
      <c r="B160" s="8" t="s">
        <v>207</v>
      </c>
      <c r="C160" s="25" t="s">
        <v>167</v>
      </c>
      <c r="D160" s="4" t="s">
        <v>554</v>
      </c>
      <c r="E160" s="12">
        <v>44594</v>
      </c>
      <c r="F160" s="46" t="s">
        <v>555</v>
      </c>
      <c r="G160" s="38">
        <v>20000</v>
      </c>
      <c r="H160" s="38"/>
      <c r="I160" s="113"/>
      <c r="J160" s="79"/>
      <c r="K160" s="57">
        <v>5000</v>
      </c>
      <c r="L160" s="13">
        <v>5000</v>
      </c>
      <c r="M160" s="36" t="s">
        <v>142</v>
      </c>
    </row>
    <row r="161" spans="1:13" ht="80.25" customHeight="1">
      <c r="A161" s="9">
        <v>156</v>
      </c>
      <c r="B161" s="8" t="s">
        <v>410</v>
      </c>
      <c r="C161" s="25" t="s">
        <v>559</v>
      </c>
      <c r="D161" s="4" t="s">
        <v>45</v>
      </c>
      <c r="E161" s="3">
        <v>44592</v>
      </c>
      <c r="F161" s="3" t="s">
        <v>411</v>
      </c>
      <c r="G161" s="4" t="s">
        <v>37</v>
      </c>
      <c r="H161" s="67"/>
      <c r="I161" s="103"/>
      <c r="J161" s="79"/>
      <c r="K161" s="57"/>
      <c r="L161" s="63"/>
      <c r="M161" s="36" t="s">
        <v>142</v>
      </c>
    </row>
    <row r="162" spans="1:13" ht="60">
      <c r="A162" s="9">
        <v>157</v>
      </c>
      <c r="B162" s="8" t="s">
        <v>508</v>
      </c>
      <c r="C162" s="15" t="s">
        <v>509</v>
      </c>
      <c r="D162" s="4" t="s">
        <v>560</v>
      </c>
      <c r="E162" s="122">
        <v>44608</v>
      </c>
      <c r="F162" s="4" t="s">
        <v>561</v>
      </c>
      <c r="G162" s="5" t="s">
        <v>562</v>
      </c>
      <c r="H162" s="64"/>
      <c r="I162" s="118"/>
      <c r="J162" s="79"/>
      <c r="K162" s="51"/>
      <c r="L162" s="51">
        <v>4275.2</v>
      </c>
      <c r="M162" s="36" t="s">
        <v>143</v>
      </c>
    </row>
    <row r="163" spans="1:13" ht="92.25" customHeight="1">
      <c r="A163" s="9">
        <v>158</v>
      </c>
      <c r="B163" s="8" t="s">
        <v>485</v>
      </c>
      <c r="C163" s="25" t="s">
        <v>486</v>
      </c>
      <c r="D163" s="4" t="s">
        <v>563</v>
      </c>
      <c r="E163" s="145">
        <v>44622</v>
      </c>
      <c r="F163" s="122" t="s">
        <v>564</v>
      </c>
      <c r="G163" s="146" t="s">
        <v>565</v>
      </c>
      <c r="H163" s="4"/>
      <c r="I163" s="46"/>
      <c r="J163" s="71"/>
      <c r="K163" s="52">
        <v>1229.1199999999999</v>
      </c>
      <c r="L163" s="52">
        <v>1229.1199999999999</v>
      </c>
      <c r="M163" s="36" t="s">
        <v>143</v>
      </c>
    </row>
    <row r="164" spans="1:13" ht="80.25" customHeight="1">
      <c r="A164" s="9">
        <v>159</v>
      </c>
      <c r="B164" s="8" t="s">
        <v>566</v>
      </c>
      <c r="C164" s="25" t="s">
        <v>567</v>
      </c>
      <c r="D164" s="4" t="s">
        <v>568</v>
      </c>
      <c r="E164" s="145">
        <v>44624</v>
      </c>
      <c r="F164" s="122" t="s">
        <v>569</v>
      </c>
      <c r="G164" s="160">
        <v>43320</v>
      </c>
      <c r="H164" s="4"/>
      <c r="I164" s="46"/>
      <c r="J164" s="71"/>
      <c r="K164" s="52">
        <f>1805+1805</f>
        <v>3610</v>
      </c>
      <c r="L164" s="13">
        <f>1805+1805</f>
        <v>3610</v>
      </c>
      <c r="M164" s="36" t="s">
        <v>142</v>
      </c>
    </row>
    <row r="165" spans="1:13" ht="45">
      <c r="A165" s="9">
        <v>160</v>
      </c>
      <c r="B165" s="8" t="s">
        <v>570</v>
      </c>
      <c r="C165" s="25" t="s">
        <v>571</v>
      </c>
      <c r="D165" s="4" t="s">
        <v>572</v>
      </c>
      <c r="E165" s="145">
        <v>44630</v>
      </c>
      <c r="F165" s="122" t="s">
        <v>191</v>
      </c>
      <c r="G165" s="160">
        <v>60000</v>
      </c>
      <c r="H165" s="4"/>
      <c r="I165" s="46"/>
      <c r="J165" s="71"/>
      <c r="K165" s="52"/>
      <c r="L165" s="13"/>
      <c r="M165" s="36" t="s">
        <v>142</v>
      </c>
    </row>
    <row r="166" spans="1:13" ht="75">
      <c r="A166" s="9">
        <v>161</v>
      </c>
      <c r="B166" s="8" t="s">
        <v>399</v>
      </c>
      <c r="C166" s="25" t="s">
        <v>403</v>
      </c>
      <c r="D166" s="4" t="s">
        <v>573</v>
      </c>
      <c r="E166" s="34">
        <v>44641</v>
      </c>
      <c r="F166" s="46" t="s">
        <v>574</v>
      </c>
      <c r="G166" s="102" t="s">
        <v>575</v>
      </c>
      <c r="H166" s="67"/>
      <c r="I166" s="103"/>
      <c r="J166" s="79"/>
      <c r="K166" s="57"/>
      <c r="L166" s="63">
        <v>522</v>
      </c>
      <c r="M166" s="36" t="s">
        <v>142</v>
      </c>
    </row>
    <row r="167" spans="1:13" ht="60">
      <c r="A167" s="9">
        <v>162</v>
      </c>
      <c r="B167" s="8" t="s">
        <v>170</v>
      </c>
      <c r="C167" s="25">
        <v>7931520964</v>
      </c>
      <c r="D167" s="4" t="s">
        <v>171</v>
      </c>
      <c r="E167" s="12">
        <v>44651</v>
      </c>
      <c r="F167" s="12" t="s">
        <v>576</v>
      </c>
      <c r="G167" s="39" t="s">
        <v>173</v>
      </c>
      <c r="H167" s="39"/>
      <c r="I167" s="115"/>
      <c r="J167" s="79"/>
      <c r="K167" s="51"/>
      <c r="L167" s="57"/>
      <c r="M167" s="1" t="s">
        <v>142</v>
      </c>
    </row>
    <row r="168" spans="1:13" ht="45">
      <c r="A168" s="9">
        <v>163</v>
      </c>
      <c r="B168" s="8" t="s">
        <v>577</v>
      </c>
      <c r="C168" s="25" t="s">
        <v>578</v>
      </c>
      <c r="D168" s="4" t="s">
        <v>579</v>
      </c>
      <c r="E168" s="12">
        <v>44677</v>
      </c>
      <c r="F168" s="46" t="s">
        <v>580</v>
      </c>
      <c r="G168" s="160">
        <v>15000</v>
      </c>
      <c r="H168" s="39" t="s">
        <v>604</v>
      </c>
      <c r="I168" s="115">
        <v>44690</v>
      </c>
      <c r="J168" s="79" t="s">
        <v>557</v>
      </c>
      <c r="K168" s="51">
        <v>16032</v>
      </c>
      <c r="L168" s="57">
        <v>16032</v>
      </c>
      <c r="M168" s="1" t="s">
        <v>143</v>
      </c>
    </row>
    <row r="169" spans="1:13" ht="60">
      <c r="A169" s="9">
        <v>164</v>
      </c>
      <c r="B169" s="41" t="s">
        <v>28</v>
      </c>
      <c r="C169" s="14">
        <v>7583180968</v>
      </c>
      <c r="D169" s="4" t="s">
        <v>581</v>
      </c>
      <c r="E169" s="34">
        <v>44677</v>
      </c>
      <c r="F169" s="46" t="s">
        <v>594</v>
      </c>
      <c r="G169" s="102" t="s">
        <v>582</v>
      </c>
      <c r="H169" s="67"/>
      <c r="I169" s="103"/>
      <c r="J169" s="79"/>
      <c r="K169" s="57">
        <v>3687.36</v>
      </c>
      <c r="L169" s="57">
        <v>3687.36</v>
      </c>
      <c r="M169" s="36" t="s">
        <v>142</v>
      </c>
    </row>
    <row r="170" spans="1:13" ht="105">
      <c r="A170" s="9">
        <v>165</v>
      </c>
      <c r="B170" s="8" t="s">
        <v>508</v>
      </c>
      <c r="C170" s="15" t="s">
        <v>509</v>
      </c>
      <c r="D170" s="4" t="s">
        <v>583</v>
      </c>
      <c r="E170" s="122">
        <v>44680</v>
      </c>
      <c r="F170" s="46" t="s">
        <v>584</v>
      </c>
      <c r="G170" s="5" t="s">
        <v>585</v>
      </c>
      <c r="H170" s="64"/>
      <c r="I170" s="118"/>
      <c r="J170" s="79"/>
      <c r="K170" s="51"/>
      <c r="L170" s="51"/>
      <c r="M170" s="36" t="s">
        <v>142</v>
      </c>
    </row>
    <row r="171" spans="1:13" ht="60">
      <c r="A171" s="9">
        <v>166</v>
      </c>
      <c r="B171" s="8" t="s">
        <v>28</v>
      </c>
      <c r="C171" s="14">
        <v>7583180968</v>
      </c>
      <c r="D171" s="4" t="s">
        <v>591</v>
      </c>
      <c r="E171" s="34">
        <v>44700</v>
      </c>
      <c r="F171" s="46" t="s">
        <v>594</v>
      </c>
      <c r="G171" s="102" t="s">
        <v>593</v>
      </c>
      <c r="H171" s="67"/>
      <c r="I171" s="103"/>
      <c r="J171" s="79"/>
      <c r="K171" s="57"/>
      <c r="L171" s="63"/>
      <c r="M171" s="36" t="s">
        <v>142</v>
      </c>
    </row>
    <row r="172" spans="1:13" ht="105">
      <c r="A172" s="9">
        <v>167</v>
      </c>
      <c r="B172" s="8" t="s">
        <v>334</v>
      </c>
      <c r="C172" s="25" t="s">
        <v>335</v>
      </c>
      <c r="D172" s="4" t="s">
        <v>619</v>
      </c>
      <c r="E172" s="34">
        <v>44718</v>
      </c>
      <c r="F172" s="46" t="s">
        <v>594</v>
      </c>
      <c r="G172" s="102" t="s">
        <v>598</v>
      </c>
      <c r="H172" s="67"/>
      <c r="I172" s="103"/>
      <c r="J172" s="79"/>
      <c r="K172" s="57">
        <v>3206.4</v>
      </c>
      <c r="L172" s="57">
        <v>3206.4</v>
      </c>
      <c r="M172" s="36" t="s">
        <v>142</v>
      </c>
    </row>
    <row r="173" spans="1:13" ht="90">
      <c r="A173" s="9">
        <v>168</v>
      </c>
      <c r="B173" s="8" t="s">
        <v>599</v>
      </c>
      <c r="C173" s="25" t="s">
        <v>600</v>
      </c>
      <c r="D173" s="4" t="s">
        <v>601</v>
      </c>
      <c r="E173" s="34">
        <v>44721</v>
      </c>
      <c r="F173" s="46" t="s">
        <v>602</v>
      </c>
      <c r="G173" s="102" t="s">
        <v>603</v>
      </c>
      <c r="H173" s="67"/>
      <c r="I173" s="103"/>
      <c r="J173" s="79"/>
      <c r="K173" s="57"/>
      <c r="L173" s="63"/>
      <c r="M173" s="36" t="s">
        <v>142</v>
      </c>
    </row>
    <row r="174" spans="1:13" ht="80.25" customHeight="1">
      <c r="A174" s="9">
        <v>169</v>
      </c>
      <c r="B174" s="8" t="s">
        <v>20</v>
      </c>
      <c r="C174" s="15">
        <v>2309220602</v>
      </c>
      <c r="D174" s="4" t="s">
        <v>610</v>
      </c>
      <c r="E174" s="34">
        <v>44722</v>
      </c>
      <c r="F174" s="46" t="s">
        <v>611</v>
      </c>
      <c r="G174" s="102" t="s">
        <v>612</v>
      </c>
      <c r="H174" s="67"/>
      <c r="I174" s="103"/>
      <c r="J174" s="79"/>
      <c r="K174" s="57"/>
      <c r="L174" s="63"/>
      <c r="M174" s="36" t="s">
        <v>142</v>
      </c>
    </row>
    <row r="175" spans="1:13" ht="80.25" customHeight="1">
      <c r="A175" s="9">
        <v>170</v>
      </c>
      <c r="B175" s="8" t="s">
        <v>504</v>
      </c>
      <c r="C175" s="15" t="s">
        <v>505</v>
      </c>
      <c r="D175" s="4" t="s">
        <v>613</v>
      </c>
      <c r="E175" s="34">
        <v>44722</v>
      </c>
      <c r="F175" s="46" t="s">
        <v>614</v>
      </c>
      <c r="G175" s="102" t="s">
        <v>615</v>
      </c>
      <c r="H175" s="67"/>
      <c r="I175" s="103"/>
      <c r="J175" s="79"/>
      <c r="K175" s="57"/>
      <c r="L175" s="63"/>
      <c r="M175" s="36" t="s">
        <v>142</v>
      </c>
    </row>
    <row r="176" spans="1:13" ht="80.25" customHeight="1">
      <c r="A176" s="9">
        <v>171</v>
      </c>
      <c r="B176" s="8" t="s">
        <v>616</v>
      </c>
      <c r="C176" s="15" t="s">
        <v>617</v>
      </c>
      <c r="D176" s="4" t="s">
        <v>618</v>
      </c>
      <c r="E176" s="34">
        <v>44722</v>
      </c>
      <c r="F176" s="46"/>
      <c r="G176" s="102">
        <v>21094.400000000001</v>
      </c>
      <c r="H176" s="67"/>
      <c r="I176" s="103"/>
      <c r="J176" s="79"/>
      <c r="K176" s="57"/>
      <c r="L176" s="63"/>
      <c r="M176" s="36" t="s">
        <v>142</v>
      </c>
    </row>
    <row r="177" spans="1:13" ht="60">
      <c r="A177" s="9">
        <v>172</v>
      </c>
      <c r="B177" s="8" t="s">
        <v>599</v>
      </c>
      <c r="C177" s="25" t="s">
        <v>600</v>
      </c>
      <c r="D177" s="4" t="s">
        <v>626</v>
      </c>
      <c r="E177" s="34">
        <v>44740</v>
      </c>
      <c r="F177" s="46" t="s">
        <v>627</v>
      </c>
      <c r="G177" s="102" t="s">
        <v>628</v>
      </c>
      <c r="H177" s="67"/>
      <c r="I177" s="103"/>
      <c r="J177" s="79"/>
      <c r="K177" s="57"/>
      <c r="L177" s="63"/>
      <c r="M177" s="36" t="s">
        <v>142</v>
      </c>
    </row>
  </sheetData>
  <autoFilter ref="B5:M177" xr:uid="{3AC4AC86-AE28-44AE-806C-B5AC83D566B6}"/>
  <mergeCells count="1">
    <mergeCell ref="K2:L2"/>
  </mergeCells>
  <pageMargins left="0.7" right="0.7" top="0.75" bottom="0.75" header="0.3" footer="0.3"/>
  <pageSetup paperSize="9" orientation="portrait" r:id="rId1"/>
  <ignoredErrors>
    <ignoredError sqref="G15:G16 G20 C86 C31:C32 G31 C34 G35 C36 C38:C40 C44 C46 C48 C50:C51 C54:C58 C61 C66:C68 C70:C71 C75:C79 C90:C92 C94 G73 G75 C102 C105:C109 C111 C113:C115 C119 C122:C126 C130:C134 C137 C139 C141:C145 C147:C149 C151:C152 G154 C156:C158 C155 C159:C166 C170 C172:C173 C175:C17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80899-02F7-46BD-9683-94657A05B4A3}">
  <dimension ref="A1:L9"/>
  <sheetViews>
    <sheetView showGridLines="0" tabSelected="1" zoomScale="90" zoomScaleNormal="90" workbookViewId="0">
      <pane ySplit="5" topLeftCell="A6" activePane="bottomLeft" state="frozen"/>
      <selection pane="bottomLeft" activeCell="J6" sqref="J6"/>
    </sheetView>
  </sheetViews>
  <sheetFormatPr defaultColWidth="20.7109375" defaultRowHeight="80.25" customHeight="1"/>
  <cols>
    <col min="1" max="1" width="4.42578125" bestFit="1" customWidth="1"/>
    <col min="2" max="3" width="25.7109375" customWidth="1"/>
    <col min="4" max="4" width="55.85546875" style="10" customWidth="1"/>
    <col min="5" max="5" width="25.7109375" style="9" customWidth="1"/>
    <col min="6" max="6" width="30.7109375" style="9" customWidth="1"/>
    <col min="7" max="7" width="40.7109375" style="26" customWidth="1"/>
    <col min="8" max="8" width="30.7109375" style="20" customWidth="1"/>
    <col min="9" max="9" width="30.7109375" customWidth="1"/>
  </cols>
  <sheetData>
    <row r="1" spans="1:12" ht="15"/>
    <row r="2" spans="1:12" ht="15"/>
    <row r="3" spans="1:12" ht="15">
      <c r="C3" s="16"/>
      <c r="D3" s="16" t="s">
        <v>586</v>
      </c>
    </row>
    <row r="4" spans="1:12" ht="15"/>
    <row r="5" spans="1:12" ht="80.25" customHeight="1">
      <c r="B5" s="6" t="s">
        <v>0</v>
      </c>
      <c r="C5" s="6" t="s">
        <v>81</v>
      </c>
      <c r="D5" s="6" t="s">
        <v>1</v>
      </c>
      <c r="E5" s="6" t="s">
        <v>2</v>
      </c>
      <c r="F5" s="6" t="s">
        <v>25</v>
      </c>
      <c r="G5" s="27" t="s">
        <v>84</v>
      </c>
      <c r="H5" s="21" t="s">
        <v>589</v>
      </c>
      <c r="I5" s="21" t="s">
        <v>590</v>
      </c>
      <c r="J5" s="35" t="s">
        <v>145</v>
      </c>
    </row>
    <row r="6" spans="1:12" ht="90">
      <c r="B6" s="8" t="s">
        <v>152</v>
      </c>
      <c r="C6" s="15" t="s">
        <v>153</v>
      </c>
      <c r="D6" s="4" t="s">
        <v>362</v>
      </c>
      <c r="E6" s="34">
        <v>43067</v>
      </c>
      <c r="F6" s="4" t="s">
        <v>444</v>
      </c>
      <c r="G6" s="139" t="s">
        <v>445</v>
      </c>
      <c r="H6" s="58">
        <f>114615.46+114615.46</f>
        <v>229230.92</v>
      </c>
      <c r="I6" s="58">
        <f>2426081.43+252154.04+84051.35+114615.46+114615.46</f>
        <v>2991517.74</v>
      </c>
      <c r="J6" s="36" t="s">
        <v>143</v>
      </c>
      <c r="L6" s="165"/>
    </row>
    <row r="7" spans="1:12" ht="80.25" customHeight="1">
      <c r="A7" s="9"/>
      <c r="B7" s="8" t="s">
        <v>425</v>
      </c>
      <c r="C7" s="104" t="s">
        <v>426</v>
      </c>
      <c r="D7" s="105" t="s">
        <v>427</v>
      </c>
      <c r="E7" s="137">
        <v>44238</v>
      </c>
      <c r="F7" s="34" t="s">
        <v>423</v>
      </c>
      <c r="G7" s="30" t="s">
        <v>424</v>
      </c>
      <c r="H7" s="57"/>
      <c r="I7" s="13"/>
      <c r="J7" s="36" t="s">
        <v>142</v>
      </c>
      <c r="L7" s="165"/>
    </row>
    <row r="8" spans="1:12" ht="225">
      <c r="B8" s="8" t="s">
        <v>500</v>
      </c>
      <c r="C8" s="104">
        <v>10926800961</v>
      </c>
      <c r="D8" s="105" t="s">
        <v>501</v>
      </c>
      <c r="E8" s="137">
        <v>44237</v>
      </c>
      <c r="F8" s="147" t="s">
        <v>502</v>
      </c>
      <c r="G8" s="148" t="s">
        <v>503</v>
      </c>
      <c r="H8" s="57"/>
      <c r="I8" s="13"/>
      <c r="J8" s="36" t="s">
        <v>142</v>
      </c>
      <c r="L8" s="165"/>
    </row>
    <row r="9" spans="1:12" ht="80.25" customHeight="1">
      <c r="B9" s="41" t="s">
        <v>513</v>
      </c>
      <c r="C9" s="104">
        <v>13264231005</v>
      </c>
      <c r="D9" s="105" t="s">
        <v>514</v>
      </c>
      <c r="E9" s="137">
        <v>44476</v>
      </c>
      <c r="F9" s="147" t="s">
        <v>515</v>
      </c>
      <c r="G9" s="159" t="s">
        <v>516</v>
      </c>
      <c r="H9" s="57"/>
      <c r="I9" s="13"/>
      <c r="J9" s="36" t="s">
        <v>142</v>
      </c>
      <c r="L9" s="165"/>
    </row>
  </sheetData>
  <autoFilter ref="B5:J9" xr:uid="{0AAD3E39-A2E9-4ADE-835C-EDB621644103}"/>
  <pageMargins left="0.7" right="0.7" top="0.75" bottom="0.75" header="0.3" footer="0.3"/>
  <pageSetup paperSize="9" orientation="portrait" r:id="rId1"/>
  <ignoredErrors>
    <ignoredError sqref="C6:C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Riepilogo Contratti Passivi</vt:lpstr>
      <vt:lpstr>Riepilogo Contratti Attivi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alfonso.demaio@metro4milano.it</dc:creator>
  <cp:lastModifiedBy>Alfonso De Maio</cp:lastModifiedBy>
  <dcterms:created xsi:type="dcterms:W3CDTF">2016-10-17T11:15:36Z</dcterms:created>
  <dcterms:modified xsi:type="dcterms:W3CDTF">2022-07-04T13:26:05Z</dcterms:modified>
</cp:coreProperties>
</file>