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Docs\Sito M4\Trasparenza\2020\"/>
    </mc:Choice>
  </mc:AlternateContent>
  <xr:revisionPtr revIDLastSave="0" documentId="13_ncr:1_{BF1F9C73-5CB0-4276-BB9A-0EDDA5346CC2}" xr6:coauthVersionLast="45" xr6:coauthVersionMax="45" xr10:uidLastSave="{00000000-0000-0000-0000-000000000000}"/>
  <bookViews>
    <workbookView xWindow="-120" yWindow="-120" windowWidth="29040" windowHeight="15960" xr2:uid="{00000000-000D-0000-FFFF-FFFF00000000}"/>
  </bookViews>
  <sheets>
    <sheet name="Riepilogo Contratti Passivi" sheetId="1" r:id="rId1"/>
    <sheet name="Riepilogo Contratti Attivi" sheetId="2" r:id="rId2"/>
  </sheets>
  <definedNames>
    <definedName name="_xlnm._FilterDatabase" localSheetId="1" hidden="1">'Riepilogo Contratti Attivi'!$B$5:$J$6</definedName>
    <definedName name="_xlnm._FilterDatabase" localSheetId="0" hidden="1">'Riepilogo Contratti Passivi'!$B$7:$I$109</definedName>
    <definedName name="_xlnm.Print_Area" localSheetId="0">'Riepilogo Contratti Passivi'!$A$1:$I$109</definedName>
    <definedName name="_xlnm.Print_Titles" localSheetId="0">'Riepilogo Contratti Passivi'!$1:$7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 l="1"/>
  <c r="H52" i="1"/>
  <c r="H36" i="1"/>
  <c r="H69" i="1" l="1"/>
  <c r="H56" i="1"/>
  <c r="I6" i="2"/>
  <c r="H6" i="2"/>
  <c r="H51" i="1" l="1"/>
  <c r="H47" i="1"/>
  <c r="H58" i="1"/>
  <c r="H49" i="1" l="1"/>
  <c r="H82" i="1"/>
  <c r="H50" i="1" l="1"/>
  <c r="H12" i="1"/>
  <c r="H48" i="1"/>
  <c r="H42" i="1"/>
  <c r="H74" i="1"/>
  <c r="H72" i="1"/>
  <c r="H73" i="1" l="1"/>
  <c r="H28" i="1"/>
  <c r="H85" i="1"/>
  <c r="H46" i="1"/>
  <c r="G74" i="1" l="1"/>
  <c r="H41" i="1" l="1"/>
  <c r="H64" i="1"/>
  <c r="H19" i="1"/>
  <c r="H20" i="1"/>
  <c r="H31" i="1"/>
  <c r="H26" i="1"/>
  <c r="H59" i="1" l="1"/>
  <c r="H81" i="1"/>
  <c r="H66" i="1"/>
  <c r="H95" i="1"/>
  <c r="G64" i="1" l="1"/>
  <c r="H67" i="1" l="1"/>
  <c r="H80" i="1" l="1"/>
  <c r="H35" i="1" l="1"/>
  <c r="H60" i="1" l="1"/>
  <c r="H33" i="1" l="1"/>
  <c r="H44" i="1"/>
  <c r="H68" i="1" l="1"/>
  <c r="H38" i="1" l="1"/>
  <c r="H9" i="1"/>
  <c r="H70" i="1" l="1"/>
  <c r="G70" i="1"/>
  <c r="H57" i="1"/>
  <c r="H65" i="1" l="1"/>
  <c r="H40" i="1" l="1"/>
  <c r="H29" i="1" l="1"/>
  <c r="H55" i="1" l="1"/>
  <c r="H45" i="1" l="1"/>
  <c r="H37" i="1"/>
  <c r="H30" i="1" l="1"/>
  <c r="H39" i="1" l="1"/>
  <c r="H24" i="1"/>
  <c r="G40" i="1" l="1"/>
  <c r="H25" i="1" l="1"/>
  <c r="H10" i="1" l="1"/>
</calcChain>
</file>

<file path=xl/sharedStrings.xml><?xml version="1.0" encoding="utf-8"?>
<sst xmlns="http://schemas.openxmlformats.org/spreadsheetml/2006/main" count="550" uniqueCount="372">
  <si>
    <t>FORNITORE</t>
  </si>
  <si>
    <t>NATURA INCARICO</t>
  </si>
  <si>
    <t>DATA SOTTOSCRIZIONE</t>
  </si>
  <si>
    <t>14/04/2016-13/04/2018</t>
  </si>
  <si>
    <t>- Giudizio sul bilancio 
- regolare tenuta della contabilità
- revisione contabile del reporting package annuale e revisione contabile limitata del reporting package semestrale
- verifica modelli 770 semplificato e ordinario
- verifica modelli dichiarazione dei redditi Unico e IRAP</t>
  </si>
  <si>
    <t>Servizi di conservazione ditigale di documenti rilevanti ai fini tributari</t>
  </si>
  <si>
    <t>Triennio 2015-2017</t>
  </si>
  <si>
    <t>il contratto avrà termine all'ultimazione delle attività di rimozione completa delle interferenze degli operatori TLC</t>
  </si>
  <si>
    <t>Accordo quadro SIRTI - M4  attività connesse alla risoluzione delle interferenze; ordini attuativi assegnati a SIRTI dalla Concessionaria a seguito della formalizzazione di apposita ordinanza</t>
  </si>
  <si>
    <t>SIRTI SpA/M4</t>
  </si>
  <si>
    <t>DELOITTE &amp; TOUCHE SpA/M4</t>
  </si>
  <si>
    <t>SIRTI SpA/M4/FASTWEB</t>
  </si>
  <si>
    <t>SIRTI SpA/M4/TIM</t>
  </si>
  <si>
    <t>SIRTI SpA/M4/VERIZON</t>
  </si>
  <si>
    <t>SIRTI SpA/M4/METROWEB</t>
  </si>
  <si>
    <t>si veda contratto principale SIRTI SpA/M4</t>
  </si>
  <si>
    <t>L'accordo regola i rapporti tra Fastweb, M4 e SIRTI per la corretta esecuzione dell'intervento di risoluzione delle interferenze di cui al provvedimento del Comune di Milano, ordinanza 5/2016 del 30/06/2016 nonché ulteriori interventi di risoluzione interferenze richiesti dal Comune con ulteriori ordinanze</t>
  </si>
  <si>
    <t>L'accordo regola i rapporti tra TIM, M4 e SIRTI per la corretta esecuzione dell'intervento di risoluzione delle interferenze di cui al provvedimento del Comune di Milano PROT. pg 149700/2016 del 18/3/2016 nonché ulteriori interventi di risoluzione interferenze richiesti dal Comune con ulteriori ordinanze</t>
  </si>
  <si>
    <t>L'accordo regola i rapporti tra VERIZON, M4 e SIRTI per la corretta esecuzione dell'intervento di risoluzione delle interferenze di cui al provvedimento del Comune di Milano ordinanza n. 3/2016 del 30/6/2016  nonché ulteriori interventi di risoluzione interferenze richiesti dal Comune con ulteriori ordinanze</t>
  </si>
  <si>
    <t>L'accordo regola i rapporti tra METROWEB, M4 e SIRTI per la corretta esecuzione dell'intervento di risoluzione delle interferenze di cui al provvedimento del Comune di Milano ordinanza n. 7/2016 del 30/6/2016  nonché ulteriori interventi di risoluzione interferenze richiesti dal Comune con ulteriori ordinanze</t>
  </si>
  <si>
    <t>GEOCONSULT SERVICE Srl</t>
  </si>
  <si>
    <t>Affidamento temporaneo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</si>
  <si>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Consulenza assicurativa successiva alla fase di financial close</t>
  </si>
  <si>
    <t>MARSH SpA</t>
  </si>
  <si>
    <t>Consulenza tecnica e ambientale per i finanziatori - monitoraggio bimestrale durante la fase di costruzione</t>
  </si>
  <si>
    <t>DURATA / SCADENZA</t>
  </si>
  <si>
    <t>ARUP ITALIA Srl</t>
  </si>
  <si>
    <t>Servizi di assistenza legale per M4 SPA</t>
  </si>
  <si>
    <t>GIUSPUBBLICISTI ASSOCIATI SPA</t>
  </si>
  <si>
    <t>Servizio di licenza d'uso piattaforma informatica Legolas</t>
  </si>
  <si>
    <t>Affidamento delle attività di consulente legale in relazione al contratto di finanziamento project per la progettazione, costruzione e gestione della Linea Metropolitana di Milano S. Cristoforo - Linate</t>
  </si>
  <si>
    <t>Servizi di consulenza legale in relazione all'esecuzione del contratto di finanziamento relativo alla progettazione, alla costruzione e all'esercizio  della M4_ prestazioni svolte dallo studio successivamente alla prima erogazione (31/07/2015) ai sensi del Contratto di Finanziamento in qualità di consulente legale dei Finanziatori</t>
  </si>
  <si>
    <t>Il Contratto viene rinnovato di anno in anno salvo disdetta entro la data del 15 ottobre.</t>
  </si>
  <si>
    <t>Rate orario 9,35759 e importo ticket 11,000</t>
  </si>
  <si>
    <t>SALINI-IMPREGILO SpA</t>
  </si>
  <si>
    <t>ADECCO ITALIA SpA</t>
  </si>
  <si>
    <t>LEGANCE AVVOCATI ASSOCIATI</t>
  </si>
  <si>
    <t>3.800 € per utenze fino a 4 postazioni
2.800 € per utenze oltre a 5 postazioni</t>
  </si>
  <si>
    <t>CHIOMENTI STUDIO LEGALE</t>
  </si>
  <si>
    <t>Disciplinare di incarico per lo svolgimento delle attività del Broker di assicurazione a favore di SPV LINEA M4 fuori dall'ambito delle polizze contrattuali</t>
  </si>
  <si>
    <t>nessun compenso previsto</t>
  </si>
  <si>
    <t>AON SpA</t>
  </si>
  <si>
    <t>Legale che segue la Causa Immobiliare Ronchetto</t>
  </si>
  <si>
    <t>Rate orario 11,8421 e importo ticket 11,000</t>
  </si>
  <si>
    <t>Contratto lavoro a tempo determinato (Arena) - proroga</t>
  </si>
  <si>
    <t>Service SAP - rinnovo</t>
  </si>
  <si>
    <t>CONSUL SYSTEM</t>
  </si>
  <si>
    <t>Accordo quadro di collaborazione e di cessione dei diritti relativi a Certificati bianchi (TEE)</t>
  </si>
  <si>
    <t>fino adempimento Accordi Individuali</t>
  </si>
  <si>
    <t>prezzo medio ponderato TEE rilasciato dal GSE scontato del 15%</t>
  </si>
  <si>
    <t>Incarico apposizione visto di conformità Dichiarazione IVA 2017</t>
  </si>
  <si>
    <t>All'apposizione della sottoscrizione della Dichiarazione IVA 2017</t>
  </si>
  <si>
    <t>Prestazioni integrative sui bilanci chiusi al 31/12/2016 e 31/12/2017 (impatto nuovi Principi Contabili a seguito D.Lgs 139/2015)</t>
  </si>
  <si>
    <t>Biennio 2016-2017</t>
  </si>
  <si>
    <t>Leasing ed assistenza tecnica full service su macchine fotocopiatrici</t>
  </si>
  <si>
    <t>BNP PARIBAS LEASING SOLUTIONS /DUPLEX</t>
  </si>
  <si>
    <t>SGS SERTEC</t>
  </si>
  <si>
    <t>Responsabile Lavori</t>
  </si>
  <si>
    <t>Servizio di pulizie uffici M4</t>
  </si>
  <si>
    <t>DESIREE soc. coop.</t>
  </si>
  <si>
    <t xml:space="preserve">SIRTI/M4 </t>
  </si>
  <si>
    <t>Realizzazione opere Civili di interconnessione reti - Prima fase</t>
  </si>
  <si>
    <t>a completamento delle attività</t>
  </si>
  <si>
    <t>54.467,25€</t>
  </si>
  <si>
    <t>Realizzazione cameretta via Foppa Washington</t>
  </si>
  <si>
    <t>18.000€</t>
  </si>
  <si>
    <t xml:space="preserve">SGI di GIURIOLO ENRICO &amp; C. SAS </t>
  </si>
  <si>
    <t>5.000€</t>
  </si>
  <si>
    <t>termine del giudizio causa Immobiliare Ronchetto</t>
  </si>
  <si>
    <t>€ 19.740 più variabile a consumo in base al numero di copie fatte</t>
  </si>
  <si>
    <t xml:space="preserve">36.800€ </t>
  </si>
  <si>
    <t>COMUNE DI MILANO</t>
  </si>
  <si>
    <t>12 ANNI</t>
  </si>
  <si>
    <t>Affitto uffici P.zza Castello</t>
  </si>
  <si>
    <t>183.825€ + rivalutazione annuale ISTAT</t>
  </si>
  <si>
    <t>STUDIO GIOVANARDI E ASSOCIATI</t>
  </si>
  <si>
    <t>Consulenza legale causa M4/Metroweb SpA</t>
  </si>
  <si>
    <t>8.000€ prima fase
15.000€ assistenza giudiziale</t>
  </si>
  <si>
    <t>termine attività di difesa per conto della Società M4</t>
  </si>
  <si>
    <t>INTEGRA DOCUMENT MANAGEMENT S.R.L./M4</t>
  </si>
  <si>
    <t>METROPOLITANA MILANESE SpA</t>
  </si>
  <si>
    <t>P.IVA/C.F.</t>
  </si>
  <si>
    <t>01594820449</t>
  </si>
  <si>
    <t>01146510498</t>
  </si>
  <si>
    <t>IMPORTO CONTRATTUALE/ORDINE</t>
  </si>
  <si>
    <t>AVV.TO FRANCO SCARPELLI</t>
  </si>
  <si>
    <t>INNOVA MCA SRL</t>
  </si>
  <si>
    <t>CAR CENTRAL PARKING SRL</t>
  </si>
  <si>
    <t>09502580153</t>
  </si>
  <si>
    <t>08236990969</t>
  </si>
  <si>
    <t>08396260963</t>
  </si>
  <si>
    <t>Rilascio di un parere legale in tema di disciplina delle assunzioni da parte delle società partecipate da Amministrazioni pubbliche in relazione alle novità introdotte dal D.lgs 175/2016</t>
  </si>
  <si>
    <t>Servizio di assistenza in ambito salute, sicurezza e antincendio degli uffici di M4 SPA e di formazione per il personale dipendente</t>
  </si>
  <si>
    <t xml:space="preserve">Contratto di affitto di n. 25 spazi di sosta all'interno dell'autosilo a disposizione del personale dell'Università degli Studi di Milano </t>
  </si>
  <si>
    <t>non oltre 90 gg dalla sottoscrizione dell'incarico</t>
  </si>
  <si>
    <t>annuale</t>
  </si>
  <si>
    <t>1.500€+250€ per gestione sicurezza e apprestamenti antincendio
4 ore * 4 sessioni *300 euro * organico in forza per corso di formazion LBG generale
4 ore * 4 sessioni *300 euro * organico in forza per corso di formazion Lbsb specifico</t>
  </si>
  <si>
    <t>36 mesi dalla sosttoscrizione (dal 26/04/2017 al 26/04/2020)</t>
  </si>
  <si>
    <t xml:space="preserve">140€ + iva mensili per posto auto </t>
  </si>
  <si>
    <t>GEOTECHNICAL DESIGN GROUP SRL</t>
  </si>
  <si>
    <t xml:space="preserve">stimati 36 mesi, periodo equivalente a tutta la durata del cantiere per la relizzazione della futura stazione Sforza Policlinico </t>
  </si>
  <si>
    <t>ITALIANA AUDION SRL</t>
  </si>
  <si>
    <t xml:space="preserve">Noleggio affrancatrice postale </t>
  </si>
  <si>
    <t>annuale con tacito rinnovo salvo disdetta da inviare tramite raccomandata A/R entro 30gg dalla scadenza del contratto</t>
  </si>
  <si>
    <t>01742310152</t>
  </si>
  <si>
    <t>Affidamento delle attività di Direzione Lavori relative alla fase di progettazione esecutiva, costruttiva e realizzativa della Linea Metropolitana M4</t>
  </si>
  <si>
    <t>dal 01/07/2017 al 30/04/2022</t>
  </si>
  <si>
    <t>11.365.135,21 oltre 4% CNPAIA e Iva</t>
  </si>
  <si>
    <t>EXPROPRIANDA Srl</t>
  </si>
  <si>
    <t>INTERFIELD</t>
  </si>
  <si>
    <t>02833870153</t>
  </si>
  <si>
    <t>Servizio di consulente del lavoro ed amministrazione del personale</t>
  </si>
  <si>
    <t>tra anni dalla sottoscrizione</t>
  </si>
  <si>
    <t>37.500 escluso Iva</t>
  </si>
  <si>
    <t xml:space="preserve">DANOVI &amp; GIORGIANNI ASSOCIATI E COMMERCIALISTI </t>
  </si>
  <si>
    <t>Advisor fiscale</t>
  </si>
  <si>
    <t>Il compenso per le prestazioni svolte nel periodo 15/6/2016-28/02/2017 e quelli che saranno dovuti per il servizio reso dal 01/03/17-30/04/17 non potranno superare i 40.000€ iva esclusa</t>
  </si>
  <si>
    <r>
      <rPr>
        <sz val="11"/>
        <color theme="1"/>
        <rFont val="Calibri"/>
        <family val="2"/>
      </rPr>
      <t>40.000 €</t>
    </r>
  </si>
  <si>
    <r>
      <rPr>
        <sz val="11"/>
        <color theme="1"/>
        <rFont val="Calibri"/>
        <family val="2"/>
      </rPr>
      <t>17.500 € per ogni rapporto bimestrale</t>
    </r>
    <r>
      <rPr>
        <sz val="11"/>
        <color theme="1"/>
        <rFont val="Calibri"/>
        <family val="2"/>
        <scheme val="minor"/>
      </rPr>
      <t xml:space="preserve">
</t>
    </r>
  </si>
  <si>
    <r>
      <t xml:space="preserve">importo massimo </t>
    </r>
    <r>
      <rPr>
        <sz val="11"/>
        <color theme="1"/>
        <rFont val="Calibri"/>
        <family val="2"/>
      </rPr>
      <t>60.000 €</t>
    </r>
  </si>
  <si>
    <r>
      <t xml:space="preserve">importo massimo </t>
    </r>
    <r>
      <rPr>
        <sz val="11"/>
        <color theme="1"/>
        <rFont val="Calibri"/>
        <family val="2"/>
      </rPr>
      <t>209.000 €</t>
    </r>
  </si>
  <si>
    <t>200.000€ oltre CPA e Iva</t>
  </si>
  <si>
    <r>
      <rPr>
        <sz val="11"/>
        <color theme="1"/>
        <rFont val="Calibri"/>
        <family val="2"/>
      </rPr>
      <t xml:space="preserve">18.400€
9.500€ </t>
    </r>
    <r>
      <rPr>
        <sz val="11"/>
        <color theme="1"/>
        <rFont val="Calibri"/>
        <family val="2"/>
        <scheme val="minor"/>
      </rPr>
      <t>(ANNUALE)</t>
    </r>
  </si>
  <si>
    <r>
      <t xml:space="preserve">Revisione Legale: 22.000€
Revisione Reporting package semestrale: 3.000€
Verifica regolare tenuta della contabilità: 4.000€
sottoscrizione dichiarazioni fiscali: 1.000€
TOTALE: </t>
    </r>
    <r>
      <rPr>
        <sz val="11"/>
        <color theme="1"/>
        <rFont val="Calibri"/>
        <family val="2"/>
      </rPr>
      <t>30.000 (annuale)</t>
    </r>
    <r>
      <rPr>
        <sz val="11"/>
        <color theme="1"/>
        <rFont val="Calibri"/>
        <family val="2"/>
        <scheme val="minor"/>
      </rPr>
      <t xml:space="preserve">
Si aggiungono rimborsi spese fino al 5% del valore contrattuale</t>
    </r>
  </si>
  <si>
    <r>
      <rPr>
        <sz val="11"/>
        <color theme="1"/>
        <rFont val="Calibri"/>
        <family val="2"/>
      </rPr>
      <t>4.000€ (per visto di conformità)</t>
    </r>
    <r>
      <rPr>
        <sz val="11"/>
        <color theme="1"/>
        <rFont val="Calibri"/>
        <family val="2"/>
        <scheme val="minor"/>
      </rPr>
      <t xml:space="preserve">
Si aggiungono rimborsi spese fino al 5% del valore contrattuale</t>
    </r>
  </si>
  <si>
    <r>
      <t xml:space="preserve">Valore massimo </t>
    </r>
    <r>
      <rPr>
        <sz val="11"/>
        <color theme="1"/>
        <rFont val="Calibri"/>
        <family val="2"/>
      </rPr>
      <t>10.000.000€</t>
    </r>
  </si>
  <si>
    <t>ARCUS FINANCIAL ADVISORS SRL</t>
  </si>
  <si>
    <t xml:space="preserve">Consulente della società per la costruzione e assistenza di un modello finanziario 
</t>
  </si>
  <si>
    <t>136.350 escluso Iva e contributi previdenziali</t>
  </si>
  <si>
    <t>ALD AUTOMOTIVE</t>
  </si>
  <si>
    <t>01924961004</t>
  </si>
  <si>
    <t xml:space="preserve">Noleggio auto </t>
  </si>
  <si>
    <t>48 mesi</t>
  </si>
  <si>
    <t>24.672 escluso iva</t>
  </si>
  <si>
    <t>Consulente Hedging</t>
  </si>
  <si>
    <t>36.000 escluso Iva</t>
  </si>
  <si>
    <t>LEASYS SPA</t>
  </si>
  <si>
    <t>06714021000</t>
  </si>
  <si>
    <t xml:space="preserve">60 mesi </t>
  </si>
  <si>
    <t xml:space="preserve">Noleggio n. 2 auto </t>
  </si>
  <si>
    <t>Contratto lavoro a tempo determinato (Pommella) - proroga</t>
  </si>
  <si>
    <t>AVV.TO STEFANO NESPOR</t>
  </si>
  <si>
    <t>03353590155</t>
  </si>
  <si>
    <t>Rilascio di un parere legale in merito ai profili di responsabilità della società concessionaria in materia di sicurezza sui luoghi di lavoro e ambientale in relazione ai cantieri e ai lavori di costruzione della linea M4 della metropolitana</t>
  </si>
  <si>
    <t>a completamento delle attività che si concluderanno entro 20 giorni dalla data di sottoscrizione</t>
  </si>
  <si>
    <t>6.000€ oltre Iva e contributi previdenziali</t>
  </si>
  <si>
    <t>ATTIVO</t>
  </si>
  <si>
    <t>TERMINATO</t>
  </si>
  <si>
    <t>35.280€ oltre iva e contributi previdenziali</t>
  </si>
  <si>
    <t>INFORMAZIONE
ATTIVO/SCADUTO</t>
  </si>
  <si>
    <t>TERMINATO 10/11/17</t>
  </si>
  <si>
    <t>Incarico per la verifica indipendente dell'inteferenza tra la costruzione di opere della linea M4 e il complesso storico-monumentale della Cà Granda</t>
  </si>
  <si>
    <t xml:space="preserve">49.500€ oltre contributi previdenziali </t>
  </si>
  <si>
    <t>EDENRED ITALIA SRL</t>
  </si>
  <si>
    <t>09429840151</t>
  </si>
  <si>
    <t>Buoni pasto cartacei a favore dei dipendenti di M4</t>
  </si>
  <si>
    <t>URBAN VISION SPA</t>
  </si>
  <si>
    <t>08236441005</t>
  </si>
  <si>
    <t xml:space="preserve">Gestione degli spazi pubblicitari all'interno della ree di cantiere relative alla realizzazione della linea M4 </t>
  </si>
  <si>
    <t>dal 01/01/18 al 31/12/20</t>
  </si>
  <si>
    <t>783.333,33 annuale</t>
  </si>
  <si>
    <t>Advisor fiscale Attività extracontrattuali</t>
  </si>
  <si>
    <t>DOLPHIN SOC COOP ARL</t>
  </si>
  <si>
    <t>03054000967</t>
  </si>
  <si>
    <t>GIANNI ORIGONI GRIPPO CAPPELLI &amp; PARTNERS STUDIO LEGALE</t>
  </si>
  <si>
    <t>01535691008</t>
  </si>
  <si>
    <t>Incarico di consulente legale di M4 in relazione al contratto di finanziamento project per la progettazione, costruzione e gestione della linea 4 della metropolitana di Milano</t>
  </si>
  <si>
    <t>biennale dalla sottoscrizione dell'incarico</t>
  </si>
  <si>
    <t xml:space="preserve">119800 escluso contributi previdenziali e spese vive </t>
  </si>
  <si>
    <t xml:space="preserve">comodato d'uso gratuito, sono escluse le spese generali di portierato, ascensore e spese di riscaldamento </t>
  </si>
  <si>
    <t>Uffici Comunali Viale G. D'Annunzio 15/17</t>
  </si>
  <si>
    <t>01199250158</t>
  </si>
  <si>
    <t>13/10/2016 al 31/03/2017</t>
  </si>
  <si>
    <t>49.500 mensili oltre 4% CNPAIA e Iva</t>
  </si>
  <si>
    <t>07722780967</t>
  </si>
  <si>
    <t>Revisione del modello di organizzazione, gestione e controllo ai sensi del D. Lgs. 231/01</t>
  </si>
  <si>
    <t>il contratto terminerà con la consegna formale di tutta la documentazione prodotta</t>
  </si>
  <si>
    <t>METROBLU</t>
  </si>
  <si>
    <t>Convenzione inerente l'uso dei servizi dei campi base</t>
  </si>
  <si>
    <t>2016/2017/2018</t>
  </si>
  <si>
    <t>alloggi: 590 € per camera/mese
pranzo: 8€ cadauna
cena: 8€ cadauna
colazione: 1,5€ cadauna</t>
  </si>
  <si>
    <t xml:space="preserve">8.000€ - 3.000€ oltre contributi previdenziali </t>
  </si>
  <si>
    <t>VITO ROSIELLO</t>
  </si>
  <si>
    <t>RSLVTI50S04A091N</t>
  </si>
  <si>
    <t>Incarico di consulenza tecnica di parte nella procedura giudiziale ricorso Immobiliare Ronchetto</t>
  </si>
  <si>
    <t>l'incarico si concluderà al termine dell'iter giudiaziorio</t>
  </si>
  <si>
    <t>4.000 euro oltre Iva, contributi previdenziali</t>
  </si>
  <si>
    <t xml:space="preserve">Incarico per la realizzazione dei corsi di formazione obbligatoria come identificati nel PTPCT </t>
  </si>
  <si>
    <t>l'incarico terminerà con l'erogazione dell'ultimo modulo formativo e l'invio di tutto il materiale formativo predisposto e utilizzato</t>
  </si>
  <si>
    <t>11.500 euro oltre Iva, contributi previdenziali</t>
  </si>
  <si>
    <t>1313434301004</t>
  </si>
  <si>
    <t>AZIENDA TRASPORTI MILANESI SPA</t>
  </si>
  <si>
    <t>l'incarico dovrà essere espletato fino all'emissione in servizio dell'ultimo treno metropolitano, che si presume avverrà entro il 2024. In caso di splittamenti rispetto alla predetta data, quale che sia la causa del ritardo, ATM non potrà avanzare nei confronti di M4 richieste di indennizzi, risarcimenti o altri compensi</t>
  </si>
  <si>
    <t xml:space="preserve">ARCH. EUGENIA SILVESTRI </t>
  </si>
  <si>
    <t>SLVGNE71D60F205O</t>
  </si>
  <si>
    <t>Prestazioni tecniche e professionali relative alle opere necessarie al trasferimento degli uffici di M4 nella nuova sede di Viale Gabriele D'Annunzio 15</t>
  </si>
  <si>
    <t xml:space="preserve">decorre dalla data di sottoscrizione tra le Parti e ha durata sino al termine del cantiere </t>
  </si>
  <si>
    <t>8.500 euro oltre Iva, contributi previdenziali</t>
  </si>
  <si>
    <t>24 mesi dalla sottoscrizione</t>
  </si>
  <si>
    <t>209.000€ oltre iva, contributi previdenziali e spese vive</t>
  </si>
  <si>
    <t xml:space="preserve">Contratto Integrativo per la costruzione e assistenza di un modello finanziario 
</t>
  </si>
  <si>
    <t xml:space="preserve">le attività del contratto integrativo avranno termine entro il termine di durata del contratto originariamnete previsto 07/07/2020 </t>
  </si>
  <si>
    <r>
      <t>dal 01/04/2017 al 31/03/2018</t>
    </r>
    <r>
      <rPr>
        <b/>
        <sz val="11"/>
        <color theme="1"/>
        <rFont val="Calibri"/>
        <family val="2"/>
        <scheme val="minor"/>
      </rPr>
      <t xml:space="preserve"> </t>
    </r>
    <r>
      <rPr>
        <sz val="11"/>
        <color theme="1"/>
        <rFont val="Calibri"/>
        <family val="2"/>
        <scheme val="minor"/>
      </rPr>
      <t>- proroga del 29/03/2018 dal 01/04/2018 al 30/06/2018 alle medesime condizioni economiche -</t>
    </r>
    <r>
      <rPr>
        <b/>
        <sz val="11"/>
        <color theme="1"/>
        <rFont val="Calibri"/>
        <family val="2"/>
        <scheme val="minor"/>
      </rPr>
      <t xml:space="preserve"> proroga del 28/06/2018 fino al 31/07/2018 (1 mese) alle medesime cond economiche</t>
    </r>
  </si>
  <si>
    <t xml:space="preserve">corrispettivo annuo1.373.217,36 (inclusi CNPAIA 4%) esclusa Iva </t>
  </si>
  <si>
    <t>12.000€ sulla chiusura di bilancio al 31/12/2016
5.000€ sulla chiusura di bilancio al 31/12/2017
Si aggiungono rimborsi spese fino al 5% del valore contrattuale</t>
  </si>
  <si>
    <t>Incarico per l'assistenza nell'adeguamento al regolamento europeo 679/2016 (privacy)</t>
  </si>
  <si>
    <t>inizio attività programmate per luglio 2018 e conclusione non oltre il 30 settembre 2018</t>
  </si>
  <si>
    <t>3TI ITALIA SPA</t>
  </si>
  <si>
    <t>07025291001</t>
  </si>
  <si>
    <t>Affidamento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</si>
  <si>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dal 01/08/2018 fino alla fine dei lavori coincidente con l'emissione del certificato di collaudo (indicativamente 64 mesi decorrenti dall'avvio dell'esecuzione del servizio)</t>
  </si>
  <si>
    <t>Importo totale del servizio 3.059.143,62 oltre iva e contributi previdenziali</t>
  </si>
  <si>
    <t>STIL EDIL COSTRUZIONI</t>
  </si>
  <si>
    <t>01978960167</t>
  </si>
  <si>
    <t>Lavori di adeguamento degli uffici della futura sede di M4 in Viale D'annunzio</t>
  </si>
  <si>
    <t xml:space="preserve">BDO ITALIA </t>
  </si>
  <si>
    <t>Rilascio e apposizione visto di conformità su dichiarazione IRAP  2018 anno d'imposta 2017</t>
  </si>
  <si>
    <t xml:space="preserve">3.000€ IVA ed oneri accessori di legge esclusi </t>
  </si>
  <si>
    <t>TERMINATO 14/09/18</t>
  </si>
  <si>
    <t>FABER SYSTEM SRL</t>
  </si>
  <si>
    <t>07155170157</t>
  </si>
  <si>
    <t>Protocollo informatico</t>
  </si>
  <si>
    <t>16.800€ una tantum
7.500€ canone annuale</t>
  </si>
  <si>
    <t>tra anni dalla data di invio contratto 26.09.2018</t>
  </si>
  <si>
    <t>RIZ SERVICE SRL</t>
  </si>
  <si>
    <t>22/01/2018- proroga dal 01.08.2018-30.09.2018
27/04/2018 - proroga dal 02/05/18 al 29/06/18 - proroga dal 02/07/18 al 31/07/18 - proroga dal 01/08/18 al 30/09/18 - proroga 01/10/18 al 31/10/18</t>
  </si>
  <si>
    <t>01/08/2018-30/09/2018
01/10/18-31/10/18</t>
  </si>
  <si>
    <t>STUDIO AMICA SOC. COOP.</t>
  </si>
  <si>
    <t>Erogazione in SaaS della piattaforma di E-P rocurement di gare telematiche denominata TuttoGare</t>
  </si>
  <si>
    <t xml:space="preserve">Affidamento triennale
costo annuo 8.000€ </t>
  </si>
  <si>
    <t>24.000 €</t>
  </si>
  <si>
    <r>
      <t xml:space="preserve">30/11/2018
</t>
    </r>
    <r>
      <rPr>
        <b/>
        <sz val="11"/>
        <color theme="1"/>
        <rFont val="Calibri"/>
        <family val="2"/>
        <scheme val="minor"/>
      </rPr>
      <t>20/11/2018 rinnovo durata 36 mesi</t>
    </r>
  </si>
  <si>
    <t>Noleggio ed assistenza tecnica full service multifunzione</t>
  </si>
  <si>
    <t>13187000156</t>
  </si>
  <si>
    <t xml:space="preserve">canone mensile 220 € </t>
  </si>
  <si>
    <t>36 mesi decorrenti dal primo giorno feriale del trimestre solare
da sett - dic 2018</t>
  </si>
  <si>
    <t>750 pulizia ordinaria c/o p.zza castello dall 1 al 12 agosto
2000€ pulizia inizial c/o vial ed'annunzio
3.300€ pulizia ordinaria dal 27 agosto al 30 settembre in Via D'Annunzio
3.300€ pulizia ordinaria dal 1° al 31 ottobre in Via D'Annunzio</t>
  </si>
  <si>
    <t xml:space="preserve">dal ricevimento del cronoprogramma a firma del contraente e committente fino al 6/8/2018
Opere extra contratto per i lavori e le opere necessarie all'adeguamento e al trasferimento della sede </t>
  </si>
  <si>
    <t>01/01/2019-31/12/2019</t>
  </si>
  <si>
    <t>30.900€ escluso Iva</t>
  </si>
  <si>
    <t>Fase 1 € 15.000
Fase 2 il Committente corrisponderà al Contraente l’importo 
maturato e dovuto secondo quanto previsto all’art. 4 (“Corrispettivi ed altre spese”) del Contratto sottoscritto il 7/07/2017, ultimo capoverso a cui questa attività si riferisce.</t>
  </si>
  <si>
    <t>Rate orario unico medio pari ad Euro 240 con CAP mensile pari ad Euro 10.000 + rimborso spese 
Agli onorari vanno aggiunti Iva e CPA 4%</t>
  </si>
  <si>
    <t>KPMG SPA</t>
  </si>
  <si>
    <t>Review indipendente del modello finanziario</t>
  </si>
  <si>
    <t>2 settimane dalla ricezione del modello</t>
  </si>
  <si>
    <t>28.000 €</t>
  </si>
  <si>
    <t>BUTTI &amp; PARTNERS ASSOCIAZIONE</t>
  </si>
  <si>
    <t>04144000231</t>
  </si>
  <si>
    <t>entro 20 gg dalla data di sottoscrizione</t>
  </si>
  <si>
    <t>13134301004</t>
  </si>
  <si>
    <t>Assistenza legale specialistica in materia di anticorruzione e trasparenza</t>
  </si>
  <si>
    <t>dalla data di sottoscrizione alla conclusione dell'attività in oggetto</t>
  </si>
  <si>
    <t>4500+spese generali 10%+CPA 4%</t>
  </si>
  <si>
    <t>Incarico per l'assistenza nell'adeguamento al regolamento europeo 679/2016 (privacy) - II FASE</t>
  </si>
  <si>
    <t>Triennale. 
Terninerà con l'approvazione del bilancio d'esercizio della Società al 31.12.2020</t>
  </si>
  <si>
    <r>
      <t xml:space="preserve">- Revisione contabile del bilancio in forma abbreviata 
'- Verifica della regolare tenuta della contabilità
'-Verifiche per la sottoscrizione delle dichiarazioni fiscali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</si>
  <si>
    <r>
      <t xml:space="preserve">- Revisione contabile del bilancio in forma abbreviata </t>
    </r>
    <r>
      <rPr>
        <b/>
        <sz val="11"/>
        <color theme="1"/>
        <rFont val="Calibri"/>
        <family val="2"/>
        <scheme val="minor"/>
      </rPr>
      <t>18.500</t>
    </r>
    <r>
      <rPr>
        <sz val="11"/>
        <color theme="1"/>
        <rFont val="Calibri"/>
        <family val="2"/>
        <scheme val="minor"/>
      </rPr>
      <t xml:space="preserve">
'- Verifica della regolare tenuta della contabilità </t>
    </r>
    <r>
      <rPr>
        <b/>
        <sz val="11"/>
        <color theme="1"/>
        <rFont val="Calibri"/>
        <family val="2"/>
        <scheme val="minor"/>
      </rPr>
      <t>3.500</t>
    </r>
    <r>
      <rPr>
        <sz val="11"/>
        <color theme="1"/>
        <rFont val="Calibri"/>
        <family val="2"/>
        <scheme val="minor"/>
      </rPr>
      <t xml:space="preserve">
'-Verifiche per la sottoscrizione delle dichiarazioni fiscali </t>
    </r>
    <r>
      <rPr>
        <b/>
        <sz val="11"/>
        <color theme="1"/>
        <rFont val="Calibri"/>
        <family val="2"/>
        <scheme val="minor"/>
      </rPr>
      <t>1.000</t>
    </r>
    <r>
      <rPr>
        <sz val="11"/>
        <color theme="1"/>
        <rFont val="Calibri"/>
        <family val="2"/>
        <scheme val="minor"/>
      </rPr>
      <t xml:space="preserve">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t>
    </r>
    <r>
      <rPr>
        <b/>
        <sz val="11"/>
        <color theme="1"/>
        <rFont val="Calibri"/>
        <family val="2"/>
        <scheme val="minor"/>
      </rPr>
      <t>Euro 28</t>
    </r>
    <r>
      <rPr>
        <b/>
        <sz val="11"/>
        <color theme="1"/>
        <rFont val="Calibri"/>
        <family val="2"/>
      </rPr>
      <t>.000 per ciascun anno</t>
    </r>
    <r>
      <rPr>
        <sz val="11"/>
        <color theme="1"/>
        <rFont val="Calibri"/>
        <family val="2"/>
        <scheme val="minor"/>
      </rPr>
      <t xml:space="preserve">
Si aggiungono rimborsi spese del 5% del valore contrattuale</t>
    </r>
  </si>
  <si>
    <t xml:space="preserve">PROF. GIOVANNI TARTAGLIA POLCINI </t>
  </si>
  <si>
    <t>TRTGNN68B07A783A</t>
  </si>
  <si>
    <t>Regolamento interno per l'affidamento di incarichi esterni di natura autonoma</t>
  </si>
  <si>
    <t xml:space="preserve">durata di due ore nel giorno e ora concordata tra le parti </t>
  </si>
  <si>
    <t>BONELLI EREDE PAPPALARDO STUDIO LEGALE</t>
  </si>
  <si>
    <t>Conferimento incarico relativo al giudizio da  instaurarsi dinanzi al Tar Lazio-Roma per l'impugnazione da parte di Consul System SpA del provvedimento del GSE di rigetto della PPPM</t>
  </si>
  <si>
    <t>Dalla data di sottoscrizione e terminerà con il completamento delle attività descritte fino all'adozione del giudizio di primo grado o in caso di definizione transattiva della lite, per tutta la durata della gestione della trattativa fino all'eventuale sottoscrizione del relativo atto</t>
  </si>
  <si>
    <t xml:space="preserve">4.750 oltre contributi, e 5% a titolo di rimborso spese generali </t>
  </si>
  <si>
    <t xml:space="preserve">LIPANI CATRICALA' E PARTNERS
STUDIO DI AVVOCATI </t>
  </si>
  <si>
    <t>Incarico per l'assistenza alle attività dell'OdV ex D.Lgs 231/2001</t>
  </si>
  <si>
    <t>6.500 oltre Iva e CPA 4%</t>
  </si>
  <si>
    <t>Inizio attività programmate entro la fine di gennaio 2019 e conclusione non oltre il 30 aprile 2019</t>
  </si>
  <si>
    <t>Le attività oggetto del presente contratto termineranno entro il 31 dicembre 2019</t>
  </si>
  <si>
    <t>29/02/2019</t>
  </si>
  <si>
    <t>2019-2021</t>
  </si>
  <si>
    <t>ELISABETTA GABRIELLI</t>
  </si>
  <si>
    <t>GBRLBT82M43L191U</t>
  </si>
  <si>
    <t>Prestazione lavoro autonomo occasionale, esperto commissione giudicatrice nell'ambito del Concorso Passerella S.Cristoforo</t>
  </si>
  <si>
    <t>Sino alla proclamazione del vincitore del Concorso</t>
  </si>
  <si>
    <t>6.000€ + 500€ rimb spese</t>
  </si>
  <si>
    <t>ENRICA BARZAGHI</t>
  </si>
  <si>
    <t>BRZNRC74P63B639K</t>
  </si>
  <si>
    <t>09989691002</t>
  </si>
  <si>
    <t>Assistenza in giudizio in esito al ricorso di Immobiliare Ronchetto in danno tra gli altri, di SPV Linea M4 SPA</t>
  </si>
  <si>
    <t xml:space="preserve">Dalla firma fino all'espletamento dell'attività </t>
  </si>
  <si>
    <t>6.500€ +contributi prev + spese vive documentate</t>
  </si>
  <si>
    <t>STUDIO LEGALE 
AVV. DI NAPOLI</t>
  </si>
  <si>
    <t>GRENKE/DUPLEX</t>
  </si>
  <si>
    <t>AVV. ALESSANDRO FACCHINO c/o Studio Legale GeALEX</t>
  </si>
  <si>
    <t>Incarico di assistenza nel giudizio promosso con atto di citazione dal Sig. Giorgio Battisti innanzi al Giudice di Pace di Milano</t>
  </si>
  <si>
    <t>600€ oltre iva, CPA e spese generali</t>
  </si>
  <si>
    <t>FCCLSN67S05F205W</t>
  </si>
  <si>
    <r>
      <t xml:space="preserve">€ 648.120,00 oltre iva 
€ 252.923,60 oltre iva e contributi di legge ove previsti (atto aggiuntivo)
</t>
    </r>
    <r>
      <rPr>
        <b/>
        <sz val="11"/>
        <color theme="1"/>
        <rFont val="Calibri"/>
        <family val="2"/>
        <scheme val="minor"/>
      </rPr>
      <t>Per un totale di € 901.043,60</t>
    </r>
  </si>
  <si>
    <t>Accordo per la funzionalità del sistema di controllo accessi e per l'interfacciametno con il sistema di centro sbme</t>
  </si>
  <si>
    <t>dalla sottoscrizione fino all'entrata in esercizio della prima tratta funzionale</t>
  </si>
  <si>
    <t>APERTO</t>
  </si>
  <si>
    <t>Assistenza in giudizio per impugnazione dinanzi al TAR Lombardia proposto da Iscot Italia Spa</t>
  </si>
  <si>
    <t>dalla sottoscrizione fino all'adozione del giudizio o in caso di definizione transattiva della lite</t>
  </si>
  <si>
    <t>10.000€ oltre iva, contributi previdenziali e spese vive</t>
  </si>
  <si>
    <t>RC Advisory Srl</t>
  </si>
  <si>
    <t>06945460969</t>
  </si>
  <si>
    <t>Attività di analisi e revisione delle procedure interne aziendali, già redatte, nonche la stesura delle procedure ancora da sviluppare</t>
  </si>
  <si>
    <t>dalla sottoscrizione dello stesso, terminerà con il completamento di tutte le attività oggetto dell'incarico e non dovrà protrarsi oltre il 30 settembre 2019</t>
  </si>
  <si>
    <t>18.900€ oltre iva</t>
  </si>
  <si>
    <t>il Concedente riconoscerà  per il tramite della Concessionaria, al CMM4 e ad ATM l’importo complessivo di € 800.000,00 oltre IVA</t>
  </si>
  <si>
    <t>Servizio di espletamento delle procedure espropriative e occupazione temporanea
Atto aggiuntivo al contratto di servizi di espletamento delle procedure espropriative e occupazione temporanea sottoscritto il 9/07/2019</t>
  </si>
  <si>
    <t>ATM/COMUNE DI MILANO/M4/HITACHI RAIL STS SPA/CMM4</t>
  </si>
  <si>
    <t>PERITO INDUSTRIALE RENATO BRUNO</t>
  </si>
  <si>
    <t>059009860016</t>
  </si>
  <si>
    <t>Incarico per la redazione della documentazione tecnica e presentazione delle istanze di deroga ai VV. FF. per le stazioni della M4</t>
  </si>
  <si>
    <t>dalla sottoscrizione dello stesso e terminerà con il completamento di tutte le attività oggetto dell'incarico</t>
  </si>
  <si>
    <t>6.300€ oltre iva</t>
  </si>
  <si>
    <t>04596040966</t>
  </si>
  <si>
    <t xml:space="preserve">Contratto perla realizzazione di un nuovo software per la gestione del protocollo di legalità e per la prestazione di servizi accessori </t>
  </si>
  <si>
    <t>il presente contratto è valido ed efficace dalla data della sua stipula e si concluderà il 31 dicembre 2024</t>
  </si>
  <si>
    <r>
      <t xml:space="preserve">L’importo complessivo del Contratto è pari ad Euro </t>
    </r>
    <r>
      <rPr>
        <b/>
        <sz val="11"/>
        <color theme="1"/>
        <rFont val="Calibri"/>
        <family val="2"/>
      </rPr>
      <t>352.800 iva esclusa</t>
    </r>
    <r>
      <rPr>
        <sz val="11"/>
        <color theme="1"/>
        <rFont val="Calibri"/>
        <family val="2"/>
      </rPr>
      <t xml:space="preserve">
a) euro 263.334 per le attività di sviluppo, rilascio in campo del Software, senza importazione dei dati dal vecchio sistema;
b) euro 51.666 per le attività di manutenzione correttiva dal 1.6.2022 fino al 31 dicembre 2024 di cui euro 11.666 per il periodo dal 1° giugno 2022 al 31 dicembre 2022 euro 20.000 per l’anno 2023 ed euro 20.000 per l’anno 2024;
c) euro 35.000 per il servizio di hosting in cloud dei sistemi hardware su cui è caricato il Software pari ad euro 7.000 per ciascun anno, a partire dal 1° gennaio 2020 e fino al 31 dicembre 2024;
d) euro 2.800 per il servizio di training sul sistema della durata complessiva di 3 giorni lavorativi;</t>
    </r>
    <r>
      <rPr>
        <b/>
        <sz val="11"/>
        <color theme="1"/>
        <rFont val="Calibri"/>
        <family val="2"/>
      </rPr>
      <t xml:space="preserve">
</t>
    </r>
  </si>
  <si>
    <t xml:space="preserve">Incarico relativo all'assistenza  e tutela nel giudizio dinanzi al tribunale nel contenzioso RG 54054/2017 Immobiliare Forlanini Srl </t>
  </si>
  <si>
    <t>16.000 oltre iva e contributi previdenziali dovuti per legge, CPA e spese vive</t>
  </si>
  <si>
    <t>05/11/2018
rinnovo 25/10/19</t>
  </si>
  <si>
    <r>
      <t xml:space="preserve">20/03/2018
</t>
    </r>
    <r>
      <rPr>
        <u/>
        <sz val="11"/>
        <color theme="1"/>
        <rFont val="Calibri"/>
        <family val="2"/>
        <scheme val="minor"/>
      </rPr>
      <t>scrittura privata 18/10/19</t>
    </r>
  </si>
  <si>
    <r>
      <t xml:space="preserve">Conferimento d'incarico di Professionista Preposto relativamente alle opere delle Linea 4 della metropolitana ai fini dell'art 5 D.P.R. 753/1980 e della circolare M.C.T.C. - D.G. N. 201 del 16/9/1983
</t>
    </r>
    <r>
      <rPr>
        <u/>
        <sz val="11"/>
        <color theme="1"/>
        <rFont val="Calibri"/>
        <family val="2"/>
        <scheme val="minor"/>
      </rPr>
      <t>17 OTTOBRE 2019</t>
    </r>
    <r>
      <rPr>
        <sz val="11"/>
        <color theme="1"/>
        <rFont val="Calibri"/>
        <family val="2"/>
        <scheme val="minor"/>
      </rPr>
      <t xml:space="preserve"> scrittura privata tra M4 e ATM necessaria per sottoporre a verifica del Professionista Preposto ulteriori 3 carri pianali</t>
    </r>
  </si>
  <si>
    <t>STUDIO LEGALE ANNA MAIENZA E ASSOCIATI</t>
  </si>
  <si>
    <t>06641990962</t>
  </si>
  <si>
    <t>Incarico relativo all'assistenza e tutela nel giudizio avverso l'atto di citazione notificato il 31/07/19 dal Comune di Milano per l'accertamento della responsabilità di M4 per tutti gli eventuali danni patti dal Sig. Zonato</t>
  </si>
  <si>
    <t>10.774 oltre iva e contributi previdenziali dovuti per legge, CPA e spese vive</t>
  </si>
  <si>
    <t xml:space="preserve">Incarico relativo all'assistenza  e tutela nel giudizio dinanzi al tribunale nel contenzioso RG 2347/2018 Immobiliare Forlanini Srl </t>
  </si>
  <si>
    <t>10.000 oltre iva e contributi previdenziali dovuti per legge, CPA e spese vive</t>
  </si>
  <si>
    <t>Quadriennio 2015-2018</t>
  </si>
  <si>
    <t>5/11/18 al 5/11/19
rinnovo 6/11/19 al 6/12/19
rinnovo 9/12/2019 al 20/12/2019</t>
  </si>
  <si>
    <t>01/01/2020-31/12/2020</t>
  </si>
  <si>
    <t>Redazione modelli DOCFA per accatastamento aree urbane tratta Expo</t>
  </si>
  <si>
    <t>4.500 € al netto iva e delle spese relative agli oneri e tributi catastali eventualmente richiesti dall'Ag. Entrate</t>
  </si>
  <si>
    <t xml:space="preserve">incarico triennale di consulente della società per la valutazione dei criteri di ammissibilità ed efficacia dei contratti di hedging con riferimento alla loro contabilizzazion ed esistenti alla data di chiusura di ogni bilancio di esercizio _ integrazione Hedging </t>
  </si>
  <si>
    <t xml:space="preserve">anno 2020 </t>
  </si>
  <si>
    <t>7.000 + IVA</t>
  </si>
  <si>
    <t>RINNOVO anno 10.12.2019-10.12.2020
qualora la società lo ritenesse, l'incarico può essere rinnovato per un uguale periodo</t>
  </si>
  <si>
    <t>Long Term Partners Srl</t>
  </si>
  <si>
    <t>SERVIZIO DI CONSULENZA PER LA VALORIZZAZIONE DELLA COMUNICAZIONE COMMERCIALE NELL’INFRASTRUTTURA DELLA LINEA M4 DELLA METROPOLITANA DEL COMUNE DI MILANO</t>
  </si>
  <si>
    <t>60 giorni dalla sottoscrizione</t>
  </si>
  <si>
    <t>AOUMM Srl STP</t>
  </si>
  <si>
    <t>09433100964</t>
  </si>
  <si>
    <t>Incarico di integrazione e coordinamento della progettazione architettonica inerente allo sviluppo del progetto  definitivo ed esecutivo della passerella ciclopedonale di collegamento tra i quartieri di lorenteggio e ronchetto sul naviglio</t>
  </si>
  <si>
    <t xml:space="preserve">gli elaborati relativi alla Progettazione Definitiva entro il termine stabilito di volta in volta dallo stesso, fino ad un
massimo di 45 giorni naturali e consecutivi;
gli elaborati relativi alla Progettazione Esecutiva fino ad un massimo di 45 giorni naturali e consecutivi;
gli aggiornamenti e le revisioni degli elaborati di PD e/o PE entro 20 giorni naturali e consecutivi.
I termini di cui sopra decorrono dalla ricezione del relativo ordine di avvio attività del Committente </t>
  </si>
  <si>
    <t>JOBBING SOC. COOP.</t>
  </si>
  <si>
    <t>Servizio di pulizie uffici M4 e piccole manutenzioni (edili elettriche idrauliche) presso M4</t>
  </si>
  <si>
    <t>decorrenza di 2 anni dal 2/01/2020 potrà essere prorogato, per il periodo strettamente necessario all’individuazione di un nuovo affidatario, per un periodo massimo di 2 (due) mesi.</t>
  </si>
  <si>
    <t>39.994 € per l'intera durata del contratto</t>
  </si>
  <si>
    <r>
      <t xml:space="preserve">Servizio di espletamento delle procedure espropriative e occupazione temporanea
</t>
    </r>
    <r>
      <rPr>
        <b/>
        <sz val="11"/>
        <color theme="1"/>
        <rFont val="Calibri"/>
        <family val="2"/>
        <scheme val="minor"/>
      </rPr>
      <t>15.01.2020</t>
    </r>
    <r>
      <rPr>
        <sz val="11"/>
        <color theme="1"/>
        <rFont val="Calibri"/>
        <family val="2"/>
        <scheme val="minor"/>
      </rPr>
      <t xml:space="preserve"> Atto aggiuntivo al contratto di servizi di espletamento delle procedure espropriative e occupazione temporanea</t>
    </r>
  </si>
  <si>
    <t>648.340,00 oltre iva
123.170,00 oltre iva e contributi di legge ove previsti (atto aggiuntivo)</t>
  </si>
  <si>
    <t>REPORT CONTRATTI _ TRIMESTRE 01/01/2020 - 31/03/2020</t>
  </si>
  <si>
    <t>Asseverazione partite di credito e debito tra l'ente Comune di Milano e SPV Linea M4 SPA per le finalità previste dal decreto legislativo 23 giugno 2011 n.118 per l'esercizio 2019</t>
  </si>
  <si>
    <t>Asseverazione partite di credito e debito tra l'ente Comune di Milano e SPV Linea M4 SPA per le finalità previste dal decreto legislativo 23 giugno 2011 n.118 per gli esercizi 2015-2016-2017-2018</t>
  </si>
  <si>
    <t>anno 2019</t>
  </si>
  <si>
    <t>06/02/2017
proroga del 31.01.2020</t>
  </si>
  <si>
    <t>06/04/2020
nuovo termine 06/06/2023</t>
  </si>
  <si>
    <t>STUDIO LEGALE ASSOCIATO SANTAMARIA _Avv.to Bruno Santamaria</t>
  </si>
  <si>
    <t>08912910968</t>
  </si>
  <si>
    <t>Incarico assistenza e tutela nel giudizio avverso il ricorso promosso dal condominio via De Amicis innanzi al TAR Lombardia per l'annullamento del decreto adottato da M4 SPA per l'imposizione di una servitù di passaggio della galleria della metropolitana</t>
  </si>
  <si>
    <t xml:space="preserve">A completamento delle attività e fino all'adozione del giudizio o, in caso di transattiva della lite, per tutta la durata della gestione della trattativa fino all'eventuale sottoscrizione del relativo atto
</t>
  </si>
  <si>
    <t>2.800 oltre contributi di legge e 15% spese generali</t>
  </si>
  <si>
    <t>27/11/2017
atto di sottomissione del 13/02/2020</t>
  </si>
  <si>
    <t>da 105.384 a 115.913,40 con l'atto di sottomissione sottoscritto il 13/02/2020</t>
  </si>
  <si>
    <t>IMPORTO VERSATO (IVA INCLUSA) NEL TRIMESTRE DI RIFERIMENTO        
01/01/20 - 31/03/20</t>
  </si>
  <si>
    <t>Le attività oggetto del presente contratto termineranno entro il 31 dicembre 2021</t>
  </si>
  <si>
    <t xml:space="preserve">incarico relativo all'assistenza per difesa in giudizio dinanzi al tribunale civile di milano per il ricorso presentato dal condominio in corso manforte 45, milano per nomina perito di parte M4 e presidente della terna dei periti </t>
  </si>
  <si>
    <t>al completamento delle attività sino all'eventuale assistenza nelle more delle operazioni peritali affidate alla terna dei tecnici</t>
  </si>
  <si>
    <t>1.100€ oltre IVA e CPA  + Spese vive concordate  e documentate (+15%)</t>
  </si>
  <si>
    <t>ASSISTENZA LEGALE SULLA GESTIONE DEI CONTRATTI DI FINANZIAMENTO SOTTOSCRITTI DA SPV LINEA M4 S.P.A. FINO ALLA DATA DEL 25 SETTEMBRE 2019</t>
  </si>
  <si>
    <t>due anni dalla firma del contratto</t>
  </si>
  <si>
    <t>38.000€ per la durata dell'incarico (quindi 19.000€)</t>
  </si>
  <si>
    <t>SCADUTO</t>
  </si>
  <si>
    <t>163.981,4 + 163.981,4 = 327.962,8€</t>
  </si>
  <si>
    <t>IMPORTO PROGRESSIVO VERSATO (IVA INCLUSA) AL 31/03/2020</t>
  </si>
  <si>
    <t>IMPORTO PROGRESSIVO  LIQUIDATO (IVA INCLUSA) AL 31/03/2020 (*)</t>
  </si>
  <si>
    <t>(*) Tempestività dei pagamenti: non superiore a 30 giorni naturali e consecutivi (Tempo di pagamento intercorso tra la scadenza effettiva della fattura e l'esecuzione/pagamento del relativo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</si>
</sst>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1];[Red]\-#,##0\ [$€-1]"/>
    <numFmt numFmtId="165" formatCode="_-* #,##0_-;\-* #,##0_-;_-* &quot;-&quot;??_-;_-@_-"/>
  </numFmts>
  <fonts count="10" x14ac:knownFonts="1">
    <font>
      <sz val="11"/>
      <color theme="1"/>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font>
    <font>
      <i/>
      <sz val="11"/>
      <color theme="1"/>
      <name val="Calibri"/>
      <family val="2"/>
      <scheme val="minor"/>
    </font>
    <font>
      <sz val="11"/>
      <color rgb="FF0070C0"/>
      <name val="Calibri"/>
      <family val="2"/>
      <scheme val="minor"/>
    </font>
    <font>
      <u/>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s>
  <cellStyleXfs count="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87">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1" xfId="0" applyFill="1" applyBorder="1" applyAlignment="1">
      <alignment horizontal="center" vertical="center"/>
    </xf>
    <xf numFmtId="14" fontId="0" fillId="0" borderId="1" xfId="0" applyNumberFormat="1" applyBorder="1" applyAlignment="1">
      <alignment horizontal="center" vertical="center" wrapText="1"/>
    </xf>
    <xf numFmtId="43" fontId="0" fillId="0" borderId="1" xfId="1" quotePrefix="1" applyFont="1" applyBorder="1" applyAlignment="1">
      <alignment horizontal="left"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5" fillId="0" borderId="0" xfId="0" applyFont="1"/>
    <xf numFmtId="43" fontId="0" fillId="0" borderId="1" xfId="1" applyFont="1" applyBorder="1" applyAlignment="1">
      <alignment horizontal="left" vertical="center" wrapText="1"/>
    </xf>
    <xf numFmtId="43" fontId="0" fillId="0" borderId="1" xfId="1" quotePrefix="1" applyFont="1" applyBorder="1" applyAlignment="1">
      <alignment horizontal="center" vertical="center" wrapText="1"/>
    </xf>
    <xf numFmtId="43" fontId="0" fillId="0" borderId="1" xfId="1" applyFont="1" applyBorder="1" applyAlignment="1">
      <alignment horizontal="left" vertical="center"/>
    </xf>
    <xf numFmtId="43" fontId="0" fillId="0" borderId="0" xfId="1" applyFont="1" applyAlignment="1">
      <alignment horizontal="center" vertical="center"/>
    </xf>
    <xf numFmtId="43" fontId="0" fillId="2" borderId="1" xfId="1" applyFont="1" applyFill="1" applyBorder="1" applyAlignment="1">
      <alignment horizontal="center" vertical="center" wrapText="1"/>
    </xf>
    <xf numFmtId="43" fontId="0" fillId="3" borderId="1" xfId="1" applyFont="1" applyFill="1" applyBorder="1" applyAlignment="1">
      <alignment horizontal="left" vertical="center" wrapText="1"/>
    </xf>
    <xf numFmtId="0" fontId="2" fillId="2" borderId="2" xfId="0" applyFont="1" applyFill="1" applyBorder="1" applyAlignment="1">
      <alignment horizontal="center" vertical="center" wrapText="1"/>
    </xf>
    <xf numFmtId="14" fontId="0" fillId="0" borderId="3" xfId="0" applyNumberFormat="1" applyBorder="1" applyAlignment="1">
      <alignment horizontal="center" vertical="center"/>
    </xf>
    <xf numFmtId="0" fontId="2" fillId="0" borderId="1" xfId="0" quotePrefix="1" applyFont="1" applyBorder="1" applyAlignment="1">
      <alignment horizontal="center" vertical="center"/>
    </xf>
    <xf numFmtId="0" fontId="0" fillId="0" borderId="0" xfId="0" applyAlignment="1">
      <alignment horizontal="right" vertical="center"/>
    </xf>
    <xf numFmtId="0" fontId="0" fillId="2" borderId="1" xfId="0" applyFill="1" applyBorder="1" applyAlignment="1">
      <alignment horizontal="right" vertical="center" wrapText="1"/>
    </xf>
    <xf numFmtId="0" fontId="0" fillId="4" borderId="1" xfId="0" applyFill="1" applyBorder="1" applyAlignment="1">
      <alignment horizontal="left" vertical="center" wrapText="1"/>
    </xf>
    <xf numFmtId="4" fontId="0" fillId="0" borderId="1" xfId="0" applyNumberFormat="1" applyBorder="1" applyAlignment="1">
      <alignment horizontal="righ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43" fontId="0" fillId="0" borderId="1" xfId="5" quotePrefix="1" applyFont="1" applyBorder="1" applyAlignment="1">
      <alignment horizontal="left"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4" fillId="0" borderId="1" xfId="0" applyNumberFormat="1" applyFont="1" applyBorder="1" applyAlignment="1">
      <alignment horizontal="right" vertical="center"/>
    </xf>
    <xf numFmtId="14" fontId="0" fillId="0" borderId="1" xfId="0" quotePrefix="1" applyNumberFormat="1" applyBorder="1" applyAlignment="1">
      <alignment horizontal="left" vertical="center" wrapText="1"/>
    </xf>
    <xf numFmtId="164" fontId="4" fillId="0" borderId="1" xfId="0" applyNumberFormat="1" applyFont="1" applyBorder="1" applyAlignment="1">
      <alignment horizontal="left" vertical="center"/>
    </xf>
    <xf numFmtId="0" fontId="0" fillId="0" borderId="1" xfId="1" quotePrefix="1" applyNumberFormat="1" applyFont="1" applyBorder="1" applyAlignment="1">
      <alignment horizontal="left" vertical="center" wrapText="1"/>
    </xf>
    <xf numFmtId="43" fontId="0" fillId="0" borderId="1" xfId="8" quotePrefix="1"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 xfId="0" applyBorder="1" applyAlignment="1">
      <alignment horizontal="left" vertical="center"/>
    </xf>
    <xf numFmtId="164" fontId="0" fillId="0" borderId="1" xfId="0" applyNumberFormat="1" applyBorder="1" applyAlignment="1">
      <alignment horizontal="left" vertical="center"/>
    </xf>
    <xf numFmtId="3" fontId="0" fillId="0" borderId="1" xfId="0" quotePrefix="1" applyNumberFormat="1" applyBorder="1" applyAlignment="1">
      <alignment horizontal="left" vertical="center"/>
    </xf>
    <xf numFmtId="164"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5" fontId="3" fillId="0" borderId="1" xfId="1" quotePrefix="1" applyNumberFormat="1" applyBorder="1" applyAlignment="1">
      <alignment horizontal="left" vertical="center" wrapText="1"/>
    </xf>
    <xf numFmtId="43" fontId="3" fillId="0" borderId="1" xfId="1" quotePrefix="1" applyBorder="1" applyAlignment="1">
      <alignment horizontal="left" vertical="center" wrapText="1"/>
    </xf>
    <xf numFmtId="164" fontId="3" fillId="0" borderId="1" xfId="1" quotePrefix="1" applyNumberFormat="1" applyBorder="1" applyAlignment="1">
      <alignment horizontal="left" vertical="center" wrapText="1"/>
    </xf>
    <xf numFmtId="0" fontId="4" fillId="0" borderId="1" xfId="0" quotePrefix="1" applyFont="1" applyBorder="1" applyAlignment="1">
      <alignment horizontal="left" vertical="center" wrapText="1"/>
    </xf>
    <xf numFmtId="43" fontId="0" fillId="0" borderId="1" xfId="1" applyFont="1" applyBorder="1" applyAlignment="1">
      <alignment horizontal="right" vertical="center" wrapText="1"/>
    </xf>
    <xf numFmtId="43" fontId="0" fillId="0" borderId="1" xfId="7" quotePrefix="1" applyFont="1" applyBorder="1" applyAlignment="1">
      <alignment horizontal="right" vertical="center" wrapText="1"/>
    </xf>
    <xf numFmtId="43" fontId="3" fillId="0" borderId="1" xfId="1" applyBorder="1" applyAlignment="1">
      <alignment horizontal="center"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164" fontId="4" fillId="0" borderId="1" xfId="0" quotePrefix="1" applyNumberFormat="1" applyFont="1" applyBorder="1" applyAlignment="1">
      <alignment horizontal="left" vertical="center" wrapText="1"/>
    </xf>
    <xf numFmtId="14" fontId="0" fillId="4" borderId="1" xfId="0" applyNumberFormat="1" applyFill="1" applyBorder="1" applyAlignment="1">
      <alignment horizontal="center" vertical="center" wrapText="1"/>
    </xf>
    <xf numFmtId="43" fontId="0" fillId="0" borderId="1" xfId="1" applyFont="1" applyBorder="1" applyAlignment="1">
      <alignment horizontal="center" vertical="center" wrapText="1"/>
    </xf>
    <xf numFmtId="165" fontId="0" fillId="0" borderId="1" xfId="1" quotePrefix="1" applyNumberFormat="1" applyFont="1" applyBorder="1" applyAlignment="1">
      <alignment vertical="center" wrapText="1"/>
    </xf>
    <xf numFmtId="165" fontId="0" fillId="0" borderId="1" xfId="1" quotePrefix="1" applyNumberFormat="1" applyFont="1" applyBorder="1" applyAlignment="1">
      <alignment horizontal="left" vertical="center" wrapText="1"/>
    </xf>
    <xf numFmtId="164" fontId="0" fillId="0" borderId="1" xfId="1" quotePrefix="1" applyNumberFormat="1" applyFont="1" applyBorder="1" applyAlignment="1">
      <alignment horizontal="left" vertical="center" wrapText="1"/>
    </xf>
    <xf numFmtId="0" fontId="4" fillId="0" borderId="1" xfId="0" applyFont="1" applyBorder="1" applyAlignment="1">
      <alignment horizontal="left" vertical="center" wrapText="1"/>
    </xf>
    <xf numFmtId="4"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3" xfId="0" applyFont="1" applyBorder="1" applyAlignment="1">
      <alignment horizontal="left" vertical="center"/>
    </xf>
    <xf numFmtId="0" fontId="0" fillId="0" borderId="3" xfId="0" quotePrefix="1" applyBorder="1" applyAlignment="1">
      <alignment horizontal="left" vertical="center" wrapText="1"/>
    </xf>
    <xf numFmtId="164" fontId="4" fillId="0" borderId="3" xfId="0" applyNumberFormat="1" applyFont="1" applyBorder="1" applyAlignment="1">
      <alignment horizontal="left" vertical="center" wrapText="1"/>
    </xf>
    <xf numFmtId="4" fontId="3" fillId="0" borderId="1" xfId="0" applyNumberFormat="1" applyFont="1" applyBorder="1" applyAlignment="1">
      <alignment horizontal="left" vertical="center"/>
    </xf>
    <xf numFmtId="43" fontId="0" fillId="0" borderId="3" xfId="1" quotePrefix="1" applyFont="1" applyBorder="1" applyAlignment="1">
      <alignment horizontal="left" vertical="center" wrapText="1"/>
    </xf>
    <xf numFmtId="14" fontId="3" fillId="0" borderId="2" xfId="0" applyNumberFormat="1" applyFont="1" applyBorder="1" applyAlignment="1">
      <alignment horizontal="center" vertical="center"/>
    </xf>
    <xf numFmtId="4" fontId="0" fillId="0" borderId="3" xfId="0" applyNumberFormat="1" applyBorder="1" applyAlignment="1">
      <alignment horizontal="left" vertical="center"/>
    </xf>
    <xf numFmtId="4" fontId="0" fillId="0" borderId="0" xfId="0" applyNumberFormat="1"/>
    <xf numFmtId="164" fontId="0" fillId="0" borderId="3" xfId="0" applyNumberFormat="1" applyBorder="1" applyAlignment="1">
      <alignment horizontal="left" vertical="center" wrapText="1"/>
    </xf>
    <xf numFmtId="0" fontId="2" fillId="0" borderId="2" xfId="0" quotePrefix="1" applyFont="1" applyBorder="1" applyAlignment="1">
      <alignment horizontal="center" vertical="center"/>
    </xf>
    <xf numFmtId="0" fontId="8" fillId="0" borderId="1" xfId="0" applyFont="1" applyBorder="1" applyAlignment="1">
      <alignment horizontal="center" vertical="center"/>
    </xf>
    <xf numFmtId="0" fontId="8" fillId="0" borderId="1" xfId="0" quotePrefix="1" applyFont="1" applyBorder="1" applyAlignment="1">
      <alignment horizontal="center" vertical="center"/>
    </xf>
    <xf numFmtId="3" fontId="4"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left" vertical="center" wrapText="1"/>
    </xf>
    <xf numFmtId="14" fontId="0" fillId="0" borderId="1" xfId="0" applyNumberFormat="1" applyFont="1" applyBorder="1" applyAlignment="1">
      <alignment horizontal="center" vertical="center" wrapText="1"/>
    </xf>
    <xf numFmtId="164" fontId="4" fillId="0" borderId="1" xfId="0" applyNumberFormat="1" applyFont="1" applyBorder="1" applyAlignment="1">
      <alignment horizontal="left" vertical="center" wrapText="1"/>
    </xf>
    <xf numFmtId="43" fontId="0" fillId="0" borderId="1" xfId="1" quotePrefix="1" applyFont="1" applyBorder="1" applyAlignment="1">
      <alignment horizontal="left" vertical="center"/>
    </xf>
    <xf numFmtId="0" fontId="0" fillId="0" borderId="0" xfId="0" applyAlignment="1">
      <alignment horizontal="left" vertical="center"/>
    </xf>
  </cellXfs>
  <cellStyles count="9">
    <cellStyle name="Migliaia" xfId="1" builtinId="3"/>
    <cellStyle name="Migliaia 14" xfId="2" xr:uid="{00000000-0005-0000-0000-000001000000}"/>
    <cellStyle name="Migliaia 2" xfId="4" xr:uid="{00000000-0005-0000-0000-000032000000}"/>
    <cellStyle name="Migliaia 3" xfId="5" xr:uid="{00000000-0005-0000-0000-000033000000}"/>
    <cellStyle name="Migliaia 3 6" xfId="3" xr:uid="{00000000-0005-0000-0000-000002000000}"/>
    <cellStyle name="Migliaia 4" xfId="6" xr:uid="{00000000-0005-0000-0000-000034000000}"/>
    <cellStyle name="Migliaia 5" xfId="7" xr:uid="{00000000-0005-0000-0000-000035000000}"/>
    <cellStyle name="Migliaia 6" xfId="8" xr:uid="{00000000-0005-0000-0000-000036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3943350</xdr:colOff>
      <xdr:row>11</xdr:row>
      <xdr:rowOff>995362</xdr:rowOff>
    </xdr:from>
    <xdr:ext cx="65" cy="172227"/>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15" name="CasellaDiTesto 14">
          <a:extLst>
            <a:ext uri="{FF2B5EF4-FFF2-40B4-BE49-F238E27FC236}">
              <a16:creationId xmlns:a16="http://schemas.microsoft.com/office/drawing/2014/main" id="{00000000-0008-0000-0000-00000F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17" name="CasellaDiTesto 16">
          <a:extLst>
            <a:ext uri="{FF2B5EF4-FFF2-40B4-BE49-F238E27FC236}">
              <a16:creationId xmlns:a16="http://schemas.microsoft.com/office/drawing/2014/main" id="{00000000-0008-0000-0000-000011000000}"/>
            </a:ext>
          </a:extLst>
        </xdr:cNvPr>
        <xdr:cNvSpPr txBox="1"/>
      </xdr:nvSpPr>
      <xdr:spPr>
        <a:xfrm>
          <a:off x="8610600" y="681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xdr:row>
      <xdr:rowOff>995362</xdr:rowOff>
    </xdr:from>
    <xdr:ext cx="65" cy="172227"/>
    <xdr:sp macro="" textlink="">
      <xdr:nvSpPr>
        <xdr:cNvPr id="19" name="CasellaDiTesto 18">
          <a:extLst>
            <a:ext uri="{FF2B5EF4-FFF2-40B4-BE49-F238E27FC236}">
              <a16:creationId xmlns:a16="http://schemas.microsoft.com/office/drawing/2014/main" id="{00000000-0008-0000-0000-000013000000}"/>
            </a:ext>
          </a:extLst>
        </xdr:cNvPr>
        <xdr:cNvSpPr txBox="1"/>
      </xdr:nvSpPr>
      <xdr:spPr>
        <a:xfrm>
          <a:off x="8610600" y="7834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1</xdr:col>
      <xdr:colOff>26194</xdr:colOff>
      <xdr:row>0</xdr:row>
      <xdr:rowOff>69056</xdr:rowOff>
    </xdr:from>
    <xdr:to>
      <xdr:col>1</xdr:col>
      <xdr:colOff>1248833</xdr:colOff>
      <xdr:row>3</xdr:row>
      <xdr:rowOff>138019</xdr:rowOff>
    </xdr:to>
    <xdr:pic>
      <xdr:nvPicPr>
        <xdr:cNvPr id="30" name="Immagine 29" descr="M4_Logo">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44" y="69056"/>
          <a:ext cx="1222639"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6</xdr:row>
      <xdr:rowOff>995362</xdr:rowOff>
    </xdr:from>
    <xdr:ext cx="65" cy="172227"/>
    <xdr:sp macro="" textlink="">
      <xdr:nvSpPr>
        <xdr:cNvPr id="7" name="CasellaDiTesto 6">
          <a:extLst>
            <a:ext uri="{FF2B5EF4-FFF2-40B4-BE49-F238E27FC236}">
              <a16:creationId xmlns:a16="http://schemas.microsoft.com/office/drawing/2014/main" id="{ECE5BF0B-2C83-431C-B149-776B6F41F93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8" name="CasellaDiTesto 7">
          <a:extLst>
            <a:ext uri="{FF2B5EF4-FFF2-40B4-BE49-F238E27FC236}">
              <a16:creationId xmlns:a16="http://schemas.microsoft.com/office/drawing/2014/main" id="{3B82CDB5-9351-4540-AA83-B2872B0C7D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9" name="CasellaDiTesto 8">
          <a:extLst>
            <a:ext uri="{FF2B5EF4-FFF2-40B4-BE49-F238E27FC236}">
              <a16:creationId xmlns:a16="http://schemas.microsoft.com/office/drawing/2014/main" id="{F25CB2B6-249C-401C-B9A3-DDF8698D28B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10" name="CasellaDiTesto 9">
          <a:extLst>
            <a:ext uri="{FF2B5EF4-FFF2-40B4-BE49-F238E27FC236}">
              <a16:creationId xmlns:a16="http://schemas.microsoft.com/office/drawing/2014/main" id="{64CF2A4D-E6D0-412F-938A-914879B0E05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11" name="CasellaDiTesto 10">
          <a:extLst>
            <a:ext uri="{FF2B5EF4-FFF2-40B4-BE49-F238E27FC236}">
              <a16:creationId xmlns:a16="http://schemas.microsoft.com/office/drawing/2014/main" id="{825C397B-03D4-420D-B701-3D5B25BE14D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12" name="CasellaDiTesto 11">
          <a:extLst>
            <a:ext uri="{FF2B5EF4-FFF2-40B4-BE49-F238E27FC236}">
              <a16:creationId xmlns:a16="http://schemas.microsoft.com/office/drawing/2014/main" id="{8CA14065-1244-45F9-A5A3-E0A35057E5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29</xdr:row>
      <xdr:rowOff>995362</xdr:rowOff>
    </xdr:from>
    <xdr:ext cx="65" cy="172227"/>
    <xdr:sp macro="" textlink="">
      <xdr:nvSpPr>
        <xdr:cNvPr id="13" name="CasellaDiTesto 12">
          <a:extLst>
            <a:ext uri="{FF2B5EF4-FFF2-40B4-BE49-F238E27FC236}">
              <a16:creationId xmlns:a16="http://schemas.microsoft.com/office/drawing/2014/main" id="{0132AFBA-7CCF-40EA-8001-E9A543F8619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30</xdr:row>
      <xdr:rowOff>995362</xdr:rowOff>
    </xdr:from>
    <xdr:ext cx="65" cy="172227"/>
    <xdr:sp macro="" textlink="">
      <xdr:nvSpPr>
        <xdr:cNvPr id="14" name="CasellaDiTesto 13">
          <a:extLst>
            <a:ext uri="{FF2B5EF4-FFF2-40B4-BE49-F238E27FC236}">
              <a16:creationId xmlns:a16="http://schemas.microsoft.com/office/drawing/2014/main" id="{D9679A3B-52E2-4B75-8940-DD921257AD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16" name="CasellaDiTesto 15">
          <a:extLst>
            <a:ext uri="{FF2B5EF4-FFF2-40B4-BE49-F238E27FC236}">
              <a16:creationId xmlns:a16="http://schemas.microsoft.com/office/drawing/2014/main" id="{9F7ACFDB-0A02-487D-B2EF-168991D35C2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18" name="CasellaDiTesto 17">
          <a:extLst>
            <a:ext uri="{FF2B5EF4-FFF2-40B4-BE49-F238E27FC236}">
              <a16:creationId xmlns:a16="http://schemas.microsoft.com/office/drawing/2014/main" id="{B9A19DB8-8C2B-4185-9EC9-A1BAB0CF08C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20" name="CasellaDiTesto 19">
          <a:extLst>
            <a:ext uri="{FF2B5EF4-FFF2-40B4-BE49-F238E27FC236}">
              <a16:creationId xmlns:a16="http://schemas.microsoft.com/office/drawing/2014/main" id="{CF789313-EE12-40BE-BACD-7F6E43A86AF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21" name="CasellaDiTesto 20">
          <a:extLst>
            <a:ext uri="{FF2B5EF4-FFF2-40B4-BE49-F238E27FC236}">
              <a16:creationId xmlns:a16="http://schemas.microsoft.com/office/drawing/2014/main" id="{15CE2B12-ADBE-4A02-82E5-284ED7EF1B2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22" name="CasellaDiTesto 21">
          <a:extLst>
            <a:ext uri="{FF2B5EF4-FFF2-40B4-BE49-F238E27FC236}">
              <a16:creationId xmlns:a16="http://schemas.microsoft.com/office/drawing/2014/main" id="{406DF8E2-E7D4-43CF-9243-F4FE5C92675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3" name="CasellaDiTesto 22">
          <a:extLst>
            <a:ext uri="{FF2B5EF4-FFF2-40B4-BE49-F238E27FC236}">
              <a16:creationId xmlns:a16="http://schemas.microsoft.com/office/drawing/2014/main" id="{7D3FCD6A-6377-48E3-8636-03AD68840E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24" name="CasellaDiTesto 23">
          <a:extLst>
            <a:ext uri="{FF2B5EF4-FFF2-40B4-BE49-F238E27FC236}">
              <a16:creationId xmlns:a16="http://schemas.microsoft.com/office/drawing/2014/main" id="{265CB093-EA97-4636-91D8-4AD9F9653E3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25" name="CasellaDiTesto 24">
          <a:extLst>
            <a:ext uri="{FF2B5EF4-FFF2-40B4-BE49-F238E27FC236}">
              <a16:creationId xmlns:a16="http://schemas.microsoft.com/office/drawing/2014/main" id="{3A0DD52A-DD1E-40AF-B1EE-0B649C183A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26" name="CasellaDiTesto 25">
          <a:extLst>
            <a:ext uri="{FF2B5EF4-FFF2-40B4-BE49-F238E27FC236}">
              <a16:creationId xmlns:a16="http://schemas.microsoft.com/office/drawing/2014/main" id="{A680745E-25B1-4721-A9EE-CE52E287CE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7" name="CasellaDiTesto 26">
          <a:extLst>
            <a:ext uri="{FF2B5EF4-FFF2-40B4-BE49-F238E27FC236}">
              <a16:creationId xmlns:a16="http://schemas.microsoft.com/office/drawing/2014/main" id="{E8DDFCCE-B8EA-420B-A352-825B37B3E94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28" name="CasellaDiTesto 27">
          <a:extLst>
            <a:ext uri="{FF2B5EF4-FFF2-40B4-BE49-F238E27FC236}">
              <a16:creationId xmlns:a16="http://schemas.microsoft.com/office/drawing/2014/main" id="{78431326-F3E3-409C-9C78-85E7C7730F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29" name="CasellaDiTesto 28">
          <a:extLst>
            <a:ext uri="{FF2B5EF4-FFF2-40B4-BE49-F238E27FC236}">
              <a16:creationId xmlns:a16="http://schemas.microsoft.com/office/drawing/2014/main" id="{226F1436-FA17-4F8F-B3F3-6CD22A54304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31" name="CasellaDiTesto 30">
          <a:extLst>
            <a:ext uri="{FF2B5EF4-FFF2-40B4-BE49-F238E27FC236}">
              <a16:creationId xmlns:a16="http://schemas.microsoft.com/office/drawing/2014/main" id="{3B9BCB67-33F8-4F95-8CA9-331950E2278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32" name="CasellaDiTesto 31">
          <a:extLst>
            <a:ext uri="{FF2B5EF4-FFF2-40B4-BE49-F238E27FC236}">
              <a16:creationId xmlns:a16="http://schemas.microsoft.com/office/drawing/2014/main" id="{1B776DDE-06B4-4BE3-AFC9-4B1548D3392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29</xdr:row>
      <xdr:rowOff>995362</xdr:rowOff>
    </xdr:from>
    <xdr:ext cx="65" cy="172227"/>
    <xdr:sp macro="" textlink="">
      <xdr:nvSpPr>
        <xdr:cNvPr id="33" name="CasellaDiTesto 32">
          <a:extLst>
            <a:ext uri="{FF2B5EF4-FFF2-40B4-BE49-F238E27FC236}">
              <a16:creationId xmlns:a16="http://schemas.microsoft.com/office/drawing/2014/main" id="{1BBCEAAD-534A-4048-B0E6-6E0A713DFC8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30</xdr:row>
      <xdr:rowOff>995362</xdr:rowOff>
    </xdr:from>
    <xdr:ext cx="65" cy="172227"/>
    <xdr:sp macro="" textlink="">
      <xdr:nvSpPr>
        <xdr:cNvPr id="34" name="CasellaDiTesto 33">
          <a:extLst>
            <a:ext uri="{FF2B5EF4-FFF2-40B4-BE49-F238E27FC236}">
              <a16:creationId xmlns:a16="http://schemas.microsoft.com/office/drawing/2014/main" id="{46BE80EC-7DCC-4AD7-9C78-922999C20733}"/>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35" name="CasellaDiTesto 34">
          <a:extLst>
            <a:ext uri="{FF2B5EF4-FFF2-40B4-BE49-F238E27FC236}">
              <a16:creationId xmlns:a16="http://schemas.microsoft.com/office/drawing/2014/main" id="{3A184F28-3FC8-447C-BBA4-5EBFC8062D2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36" name="CasellaDiTesto 35">
          <a:extLst>
            <a:ext uri="{FF2B5EF4-FFF2-40B4-BE49-F238E27FC236}">
              <a16:creationId xmlns:a16="http://schemas.microsoft.com/office/drawing/2014/main" id="{3CEFB02C-291F-4F6B-9C24-B3BBBEA2B47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37" name="CasellaDiTesto 36">
          <a:extLst>
            <a:ext uri="{FF2B5EF4-FFF2-40B4-BE49-F238E27FC236}">
              <a16:creationId xmlns:a16="http://schemas.microsoft.com/office/drawing/2014/main" id="{3C5B1F9F-F4E7-4927-A240-7AF6318CFAF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38" name="CasellaDiTesto 37">
          <a:extLst>
            <a:ext uri="{FF2B5EF4-FFF2-40B4-BE49-F238E27FC236}">
              <a16:creationId xmlns:a16="http://schemas.microsoft.com/office/drawing/2014/main" id="{C296B6DC-20B1-43E9-A8A9-2F087AE6437E}"/>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39" name="CasellaDiTesto 38">
          <a:extLst>
            <a:ext uri="{FF2B5EF4-FFF2-40B4-BE49-F238E27FC236}">
              <a16:creationId xmlns:a16="http://schemas.microsoft.com/office/drawing/2014/main" id="{F68DE176-1A3D-4B8C-97AC-1931102C63A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40" name="CasellaDiTesto 39">
          <a:extLst>
            <a:ext uri="{FF2B5EF4-FFF2-40B4-BE49-F238E27FC236}">
              <a16:creationId xmlns:a16="http://schemas.microsoft.com/office/drawing/2014/main" id="{D292398D-4073-436E-85D6-87238DF573B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41" name="CasellaDiTesto 40">
          <a:extLst>
            <a:ext uri="{FF2B5EF4-FFF2-40B4-BE49-F238E27FC236}">
              <a16:creationId xmlns:a16="http://schemas.microsoft.com/office/drawing/2014/main" id="{869B53D1-843D-4B06-B4E2-887F3EEBD18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42" name="CasellaDiTesto 41">
          <a:extLst>
            <a:ext uri="{FF2B5EF4-FFF2-40B4-BE49-F238E27FC236}">
              <a16:creationId xmlns:a16="http://schemas.microsoft.com/office/drawing/2014/main" id="{6F389321-40B1-4167-B065-895D5D5B9F0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43" name="CasellaDiTesto 42">
          <a:extLst>
            <a:ext uri="{FF2B5EF4-FFF2-40B4-BE49-F238E27FC236}">
              <a16:creationId xmlns:a16="http://schemas.microsoft.com/office/drawing/2014/main" id="{15DE0360-0759-47BA-A787-BB01AC9C63C4}"/>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93</xdr:row>
      <xdr:rowOff>995362</xdr:rowOff>
    </xdr:from>
    <xdr:ext cx="65" cy="172227"/>
    <xdr:sp macro="" textlink="">
      <xdr:nvSpPr>
        <xdr:cNvPr id="44" name="CasellaDiTesto 43">
          <a:extLst>
            <a:ext uri="{FF2B5EF4-FFF2-40B4-BE49-F238E27FC236}">
              <a16:creationId xmlns:a16="http://schemas.microsoft.com/office/drawing/2014/main" id="{D3AEC82A-6BD5-45B9-B157-102B6C601897}"/>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45" name="CasellaDiTesto 44">
          <a:extLst>
            <a:ext uri="{FF2B5EF4-FFF2-40B4-BE49-F238E27FC236}">
              <a16:creationId xmlns:a16="http://schemas.microsoft.com/office/drawing/2014/main" id="{6FCDA14E-1AAF-41A7-9D5B-27C9EEA28BF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46" name="CasellaDiTesto 45">
          <a:extLst>
            <a:ext uri="{FF2B5EF4-FFF2-40B4-BE49-F238E27FC236}">
              <a16:creationId xmlns:a16="http://schemas.microsoft.com/office/drawing/2014/main" id="{3956F62D-D3C3-45E7-996C-393A0BDDEF8B}"/>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47" name="CasellaDiTesto 46">
          <a:extLst>
            <a:ext uri="{FF2B5EF4-FFF2-40B4-BE49-F238E27FC236}">
              <a16:creationId xmlns:a16="http://schemas.microsoft.com/office/drawing/2014/main" id="{46A61195-987B-416E-82FC-E965AA62AC1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48" name="CasellaDiTesto 47">
          <a:extLst>
            <a:ext uri="{FF2B5EF4-FFF2-40B4-BE49-F238E27FC236}">
              <a16:creationId xmlns:a16="http://schemas.microsoft.com/office/drawing/2014/main" id="{A38129B1-0838-45DF-A436-C38D587D3EC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xdr:row>
      <xdr:rowOff>995362</xdr:rowOff>
    </xdr:from>
    <xdr:ext cx="65" cy="172227"/>
    <xdr:sp macro="" textlink="">
      <xdr:nvSpPr>
        <xdr:cNvPr id="49" name="CasellaDiTesto 48">
          <a:extLst>
            <a:ext uri="{FF2B5EF4-FFF2-40B4-BE49-F238E27FC236}">
              <a16:creationId xmlns:a16="http://schemas.microsoft.com/office/drawing/2014/main" id="{6FDFDFC1-BCFB-4985-8B2D-E67B3CF35C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17</xdr:row>
      <xdr:rowOff>995362</xdr:rowOff>
    </xdr:from>
    <xdr:ext cx="65" cy="172227"/>
    <xdr:sp macro="" textlink="">
      <xdr:nvSpPr>
        <xdr:cNvPr id="50" name="CasellaDiTesto 49">
          <a:extLst>
            <a:ext uri="{FF2B5EF4-FFF2-40B4-BE49-F238E27FC236}">
              <a16:creationId xmlns:a16="http://schemas.microsoft.com/office/drawing/2014/main" id="{12C3F47E-3A5B-408F-BFC6-318F49B0269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18</xdr:row>
      <xdr:rowOff>995362</xdr:rowOff>
    </xdr:from>
    <xdr:ext cx="65" cy="172227"/>
    <xdr:sp macro="" textlink="">
      <xdr:nvSpPr>
        <xdr:cNvPr id="51" name="CasellaDiTesto 50">
          <a:extLst>
            <a:ext uri="{FF2B5EF4-FFF2-40B4-BE49-F238E27FC236}">
              <a16:creationId xmlns:a16="http://schemas.microsoft.com/office/drawing/2014/main" id="{0CAEE50A-2894-4621-A40C-21DF47C8BAC0}"/>
            </a:ext>
          </a:extLst>
        </xdr:cNvPr>
        <xdr:cNvSpPr txBox="1"/>
      </xdr:nvSpPr>
      <xdr:spPr>
        <a:xfrm>
          <a:off x="7191375" y="277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52" name="CasellaDiTesto 51">
          <a:extLst>
            <a:ext uri="{FF2B5EF4-FFF2-40B4-BE49-F238E27FC236}">
              <a16:creationId xmlns:a16="http://schemas.microsoft.com/office/drawing/2014/main" id="{A90D2B8F-8C66-4455-89FF-8106F2DD803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53" name="CasellaDiTesto 52">
          <a:extLst>
            <a:ext uri="{FF2B5EF4-FFF2-40B4-BE49-F238E27FC236}">
              <a16:creationId xmlns:a16="http://schemas.microsoft.com/office/drawing/2014/main" id="{CD4CCDC6-6E6A-44B2-AD75-4F53DD4EAE6D}"/>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54" name="CasellaDiTesto 53">
          <a:extLst>
            <a:ext uri="{FF2B5EF4-FFF2-40B4-BE49-F238E27FC236}">
              <a16:creationId xmlns:a16="http://schemas.microsoft.com/office/drawing/2014/main" id="{6CB0C74A-C77B-4A0C-AFDC-B385DE20942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xdr:row>
      <xdr:rowOff>995362</xdr:rowOff>
    </xdr:from>
    <xdr:ext cx="65" cy="172227"/>
    <xdr:sp macro="" textlink="">
      <xdr:nvSpPr>
        <xdr:cNvPr id="55" name="CasellaDiTesto 54">
          <a:extLst>
            <a:ext uri="{FF2B5EF4-FFF2-40B4-BE49-F238E27FC236}">
              <a16:creationId xmlns:a16="http://schemas.microsoft.com/office/drawing/2014/main" id="{AF4775D0-40E3-4CB3-B4E0-304C031209C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3943350</xdr:colOff>
      <xdr:row>5</xdr:row>
      <xdr:rowOff>0</xdr:rowOff>
    </xdr:from>
    <xdr:ext cx="65" cy="172227"/>
    <xdr:sp macro="" textlink="">
      <xdr:nvSpPr>
        <xdr:cNvPr id="2" name="CasellaDiTesto 1">
          <a:extLst>
            <a:ext uri="{FF2B5EF4-FFF2-40B4-BE49-F238E27FC236}">
              <a16:creationId xmlns:a16="http://schemas.microsoft.com/office/drawing/2014/main" id="{F906D062-8AC5-41F1-85C5-7EEB29B8D598}"/>
            </a:ext>
          </a:extLst>
        </xdr:cNvPr>
        <xdr:cNvSpPr txBox="1"/>
      </xdr:nvSpPr>
      <xdr:spPr>
        <a:xfrm>
          <a:off x="7296150" y="621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3" name="CasellaDiTesto 2">
          <a:extLst>
            <a:ext uri="{FF2B5EF4-FFF2-40B4-BE49-F238E27FC236}">
              <a16:creationId xmlns:a16="http://schemas.microsoft.com/office/drawing/2014/main" id="{7F50E3EA-694A-468A-AA4A-981643696ABA}"/>
            </a:ext>
          </a:extLst>
        </xdr:cNvPr>
        <xdr:cNvSpPr txBox="1"/>
      </xdr:nvSpPr>
      <xdr:spPr>
        <a:xfrm>
          <a:off x="7296150" y="7100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4" name="CasellaDiTesto 3">
          <a:extLst>
            <a:ext uri="{FF2B5EF4-FFF2-40B4-BE49-F238E27FC236}">
              <a16:creationId xmlns:a16="http://schemas.microsoft.com/office/drawing/2014/main" id="{2C7AB32E-DFD9-4C18-B884-FE47DEB832DA}"/>
            </a:ext>
          </a:extLst>
        </xdr:cNvPr>
        <xdr:cNvSpPr txBox="1"/>
      </xdr:nvSpPr>
      <xdr:spPr>
        <a:xfrm>
          <a:off x="7296150" y="798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5" name="CasellaDiTesto 4">
          <a:extLst>
            <a:ext uri="{FF2B5EF4-FFF2-40B4-BE49-F238E27FC236}">
              <a16:creationId xmlns:a16="http://schemas.microsoft.com/office/drawing/2014/main" id="{D92DC25D-9AFD-467F-8AB6-47D311B2F5E1}"/>
            </a:ext>
          </a:extLst>
        </xdr:cNvPr>
        <xdr:cNvSpPr txBox="1"/>
      </xdr:nvSpPr>
      <xdr:spPr>
        <a:xfrm>
          <a:off x="72961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0</xdr:col>
      <xdr:colOff>133350</xdr:colOff>
      <xdr:row>0</xdr:row>
      <xdr:rowOff>57150</xdr:rowOff>
    </xdr:from>
    <xdr:to>
      <xdr:col>1</xdr:col>
      <xdr:colOff>1028700</xdr:colOff>
      <xdr:row>3</xdr:row>
      <xdr:rowOff>126113</xdr:rowOff>
    </xdr:to>
    <xdr:pic>
      <xdr:nvPicPr>
        <xdr:cNvPr id="6" name="Immagine 5" descr="M4_Logo">
          <a:extLst>
            <a:ext uri="{FF2B5EF4-FFF2-40B4-BE49-F238E27FC236}">
              <a16:creationId xmlns:a16="http://schemas.microsoft.com/office/drawing/2014/main" id="{DCC42F12-FC20-48F6-A105-F1F69BF8D5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57150"/>
          <a:ext cx="1038225"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9"/>
  <sheetViews>
    <sheetView showGridLines="0" tabSelected="1" zoomScale="90" zoomScaleNormal="90" workbookViewId="0">
      <pane ySplit="7" topLeftCell="A8" activePane="bottomLeft" state="frozen"/>
      <selection pane="bottomLeft"/>
    </sheetView>
  </sheetViews>
  <sheetFormatPr defaultColWidth="20.7109375" defaultRowHeight="80.25" customHeight="1" x14ac:dyDescent="0.25"/>
  <cols>
    <col min="1" max="1" width="4.42578125" style="9" bestFit="1" customWidth="1"/>
    <col min="2" max="2" width="18" bestFit="1" customWidth="1"/>
    <col min="3" max="3" width="20" bestFit="1" customWidth="1"/>
    <col min="4" max="4" width="39.5703125" style="10" customWidth="1"/>
    <col min="5" max="5" width="24.28515625" style="9" customWidth="1"/>
    <col min="6" max="6" width="28.5703125" style="9" customWidth="1"/>
    <col min="7" max="7" width="38.42578125" style="26" customWidth="1"/>
    <col min="8" max="8" width="24" customWidth="1"/>
    <col min="9" max="9" width="18.140625" customWidth="1"/>
  </cols>
  <sheetData>
    <row r="1" spans="1:9" ht="15" x14ac:dyDescent="0.25"/>
    <row r="2" spans="1:9" ht="15" x14ac:dyDescent="0.25"/>
    <row r="3" spans="1:9" ht="15" x14ac:dyDescent="0.25">
      <c r="C3" s="16"/>
      <c r="D3" s="16" t="s">
        <v>346</v>
      </c>
    </row>
    <row r="4" spans="1:9" ht="15" x14ac:dyDescent="0.25"/>
    <row r="5" spans="1:9" ht="15" x14ac:dyDescent="0.25">
      <c r="D5" s="86" t="s">
        <v>371</v>
      </c>
    </row>
    <row r="6" spans="1:9" ht="15" x14ac:dyDescent="0.25"/>
    <row r="7" spans="1:9" ht="80.25" customHeight="1" x14ac:dyDescent="0.25">
      <c r="B7" s="6" t="s">
        <v>0</v>
      </c>
      <c r="C7" s="6" t="s">
        <v>81</v>
      </c>
      <c r="D7" s="6" t="s">
        <v>1</v>
      </c>
      <c r="E7" s="6" t="s">
        <v>2</v>
      </c>
      <c r="F7" s="6" t="s">
        <v>25</v>
      </c>
      <c r="G7" s="6" t="s">
        <v>84</v>
      </c>
      <c r="H7" s="21" t="s">
        <v>370</v>
      </c>
      <c r="I7" s="35" t="s">
        <v>149</v>
      </c>
    </row>
    <row r="8" spans="1:9" ht="80.099999999999994" customHeight="1" x14ac:dyDescent="0.25">
      <c r="A8" s="9">
        <v>1</v>
      </c>
      <c r="B8" s="8" t="s">
        <v>79</v>
      </c>
      <c r="C8" s="14">
        <v>4157540966</v>
      </c>
      <c r="D8" s="4" t="s">
        <v>5</v>
      </c>
      <c r="E8" s="3">
        <v>42474</v>
      </c>
      <c r="F8" s="2" t="s">
        <v>3</v>
      </c>
      <c r="G8" s="5" t="s">
        <v>122</v>
      </c>
      <c r="H8" s="18">
        <v>34038</v>
      </c>
      <c r="I8" s="1" t="s">
        <v>147</v>
      </c>
    </row>
    <row r="9" spans="1:9" ht="80.099999999999994" customHeight="1" x14ac:dyDescent="0.25">
      <c r="A9" s="9">
        <v>2</v>
      </c>
      <c r="B9" s="8" t="s">
        <v>10</v>
      </c>
      <c r="C9" s="14">
        <v>3049560166</v>
      </c>
      <c r="D9" s="5" t="s">
        <v>4</v>
      </c>
      <c r="E9" s="3">
        <v>42045</v>
      </c>
      <c r="F9" s="2" t="s">
        <v>6</v>
      </c>
      <c r="G9" s="4" t="s">
        <v>123</v>
      </c>
      <c r="H9" s="17">
        <f>68588+1409.1+17820+17887+1433+1062</f>
        <v>108199.1</v>
      </c>
      <c r="I9" s="1" t="s">
        <v>147</v>
      </c>
    </row>
    <row r="10" spans="1:9" ht="80.099999999999994" customHeight="1" x14ac:dyDescent="0.25">
      <c r="A10" s="9">
        <v>3</v>
      </c>
      <c r="B10" s="8" t="s">
        <v>10</v>
      </c>
      <c r="C10" s="14">
        <v>3049560166</v>
      </c>
      <c r="D10" s="5" t="s">
        <v>52</v>
      </c>
      <c r="E10" s="3">
        <v>42781</v>
      </c>
      <c r="F10" s="2" t="s">
        <v>53</v>
      </c>
      <c r="G10" s="51" t="s">
        <v>204</v>
      </c>
      <c r="H10" s="18">
        <f>7686+7686</f>
        <v>15372</v>
      </c>
      <c r="I10" s="1" t="s">
        <v>147</v>
      </c>
    </row>
    <row r="11" spans="1:9" ht="80.099999999999994" customHeight="1" x14ac:dyDescent="0.25">
      <c r="A11" s="9">
        <v>4</v>
      </c>
      <c r="B11" s="8" t="s">
        <v>10</v>
      </c>
      <c r="C11" s="14">
        <v>3049560166</v>
      </c>
      <c r="D11" s="4" t="s">
        <v>50</v>
      </c>
      <c r="E11" s="3">
        <v>42786</v>
      </c>
      <c r="F11" s="1" t="s">
        <v>51</v>
      </c>
      <c r="G11" s="4" t="s">
        <v>124</v>
      </c>
      <c r="H11" s="17"/>
      <c r="I11" s="36" t="s">
        <v>147</v>
      </c>
    </row>
    <row r="12" spans="1:9" ht="80.099999999999994" customHeight="1" x14ac:dyDescent="0.25">
      <c r="A12" s="9">
        <v>5</v>
      </c>
      <c r="B12" s="8" t="s">
        <v>9</v>
      </c>
      <c r="C12" s="14">
        <v>4596040966</v>
      </c>
      <c r="D12" s="4" t="s">
        <v>8</v>
      </c>
      <c r="E12" s="3">
        <v>42564</v>
      </c>
      <c r="F12" s="1" t="s">
        <v>7</v>
      </c>
      <c r="G12" s="43" t="s">
        <v>125</v>
      </c>
      <c r="H12" s="19">
        <f>1141143.97+191636.24+284419.19+469975.05+133081.19+167374.66+47929.31+233261.83+24742.49+40458.93+13140.69+10259.17+9899.66+50954.75+2350.27</f>
        <v>2820627.4000000008</v>
      </c>
      <c r="I12" s="36" t="s">
        <v>146</v>
      </c>
    </row>
    <row r="13" spans="1:9" ht="80.099999999999994" customHeight="1" x14ac:dyDescent="0.25">
      <c r="A13" s="9">
        <v>6</v>
      </c>
      <c r="B13" s="8" t="s">
        <v>11</v>
      </c>
      <c r="C13" s="14">
        <v>4596040966</v>
      </c>
      <c r="D13" s="4" t="s">
        <v>16</v>
      </c>
      <c r="E13" s="3">
        <v>42614</v>
      </c>
      <c r="F13" s="1" t="s">
        <v>15</v>
      </c>
      <c r="G13" s="4" t="s">
        <v>15</v>
      </c>
      <c r="H13" s="22"/>
      <c r="I13" s="36" t="s">
        <v>146</v>
      </c>
    </row>
    <row r="14" spans="1:9" ht="80.099999999999994" customHeight="1" x14ac:dyDescent="0.25">
      <c r="A14" s="9">
        <v>7</v>
      </c>
      <c r="B14" s="8" t="s">
        <v>14</v>
      </c>
      <c r="C14" s="14">
        <v>4596040966</v>
      </c>
      <c r="D14" s="4" t="s">
        <v>19</v>
      </c>
      <c r="E14" s="3">
        <v>42605</v>
      </c>
      <c r="F14" s="1" t="s">
        <v>15</v>
      </c>
      <c r="G14" s="4" t="s">
        <v>15</v>
      </c>
      <c r="H14" s="22"/>
      <c r="I14" s="36" t="s">
        <v>146</v>
      </c>
    </row>
    <row r="15" spans="1:9" ht="80.099999999999994" customHeight="1" x14ac:dyDescent="0.25">
      <c r="A15" s="9">
        <v>8</v>
      </c>
      <c r="B15" s="8" t="s">
        <v>12</v>
      </c>
      <c r="C15" s="14">
        <v>4596040966</v>
      </c>
      <c r="D15" s="4" t="s">
        <v>17</v>
      </c>
      <c r="E15" s="3">
        <v>42565</v>
      </c>
      <c r="F15" s="1" t="s">
        <v>15</v>
      </c>
      <c r="G15" s="4" t="s">
        <v>15</v>
      </c>
      <c r="H15" s="22"/>
      <c r="I15" s="36" t="s">
        <v>146</v>
      </c>
    </row>
    <row r="16" spans="1:9" ht="80.099999999999994" customHeight="1" x14ac:dyDescent="0.25">
      <c r="A16" s="9">
        <v>9</v>
      </c>
      <c r="B16" s="8" t="s">
        <v>13</v>
      </c>
      <c r="C16" s="14">
        <v>4596040966</v>
      </c>
      <c r="D16" s="4" t="s">
        <v>18</v>
      </c>
      <c r="E16" s="3">
        <v>42605</v>
      </c>
      <c r="F16" s="1" t="s">
        <v>15</v>
      </c>
      <c r="G16" s="4" t="s">
        <v>15</v>
      </c>
      <c r="H16" s="22"/>
      <c r="I16" s="36" t="s">
        <v>146</v>
      </c>
    </row>
    <row r="17" spans="1:9" ht="80.099999999999994" customHeight="1" x14ac:dyDescent="0.25">
      <c r="A17" s="9">
        <v>10</v>
      </c>
      <c r="B17" s="8" t="s">
        <v>60</v>
      </c>
      <c r="C17" s="14">
        <v>4596040966</v>
      </c>
      <c r="D17" s="4" t="s">
        <v>61</v>
      </c>
      <c r="E17" s="3">
        <v>42774</v>
      </c>
      <c r="F17" s="1" t="s">
        <v>62</v>
      </c>
      <c r="G17" s="5" t="s">
        <v>63</v>
      </c>
      <c r="H17" s="13"/>
      <c r="I17" s="36" t="s">
        <v>146</v>
      </c>
    </row>
    <row r="18" spans="1:9" ht="80.099999999999994" customHeight="1" x14ac:dyDescent="0.25">
      <c r="A18" s="9">
        <v>11</v>
      </c>
      <c r="B18" s="8" t="s">
        <v>60</v>
      </c>
      <c r="C18" s="14">
        <v>4596040966</v>
      </c>
      <c r="D18" s="4" t="s">
        <v>64</v>
      </c>
      <c r="E18" s="3">
        <v>42793</v>
      </c>
      <c r="F18" s="1" t="s">
        <v>62</v>
      </c>
      <c r="G18" s="5" t="s">
        <v>65</v>
      </c>
      <c r="H18" s="13"/>
      <c r="I18" s="36" t="s">
        <v>146</v>
      </c>
    </row>
    <row r="19" spans="1:9" ht="80.099999999999994" customHeight="1" x14ac:dyDescent="0.25">
      <c r="A19" s="9">
        <v>12</v>
      </c>
      <c r="B19" s="8" t="s">
        <v>20</v>
      </c>
      <c r="C19" s="14">
        <v>2309220602</v>
      </c>
      <c r="D19" s="4" t="s">
        <v>344</v>
      </c>
      <c r="E19" s="3">
        <v>41942</v>
      </c>
      <c r="F19" s="3">
        <v>44316</v>
      </c>
      <c r="G19" s="46" t="s">
        <v>345</v>
      </c>
      <c r="H19" s="13">
        <f>337339.76+19646.88+19921+12012+53130+61218+18018+70290+23870+14113+14872</f>
        <v>644430.64</v>
      </c>
      <c r="I19" s="36" t="s">
        <v>146</v>
      </c>
    </row>
    <row r="20" spans="1:9" ht="80.099999999999994" customHeight="1" x14ac:dyDescent="0.25">
      <c r="A20" s="9">
        <v>13</v>
      </c>
      <c r="B20" s="7" t="s">
        <v>108</v>
      </c>
      <c r="C20" s="14">
        <v>2309220602</v>
      </c>
      <c r="D20" s="4" t="s">
        <v>302</v>
      </c>
      <c r="E20" s="24">
        <v>41942</v>
      </c>
      <c r="F20" s="3">
        <v>44316</v>
      </c>
      <c r="G20" s="74" t="s">
        <v>289</v>
      </c>
      <c r="H20" s="13">
        <f>436225.18+32615+58002.25+13365+564.79+32905+1074.82+48741+32615+36773+45034+34792.8+68047.8</f>
        <v>840755.64</v>
      </c>
      <c r="I20" s="36" t="s">
        <v>146</v>
      </c>
    </row>
    <row r="21" spans="1:9" ht="80.099999999999994" customHeight="1" x14ac:dyDescent="0.25">
      <c r="A21" s="9">
        <v>14</v>
      </c>
      <c r="B21" s="42" t="s">
        <v>80</v>
      </c>
      <c r="C21" s="14">
        <v>1742310152</v>
      </c>
      <c r="D21" s="4" t="s">
        <v>21</v>
      </c>
      <c r="E21" s="3"/>
      <c r="F21" s="12" t="s">
        <v>172</v>
      </c>
      <c r="G21" s="44" t="s">
        <v>173</v>
      </c>
      <c r="H21" s="13">
        <v>283140</v>
      </c>
      <c r="I21" s="1" t="s">
        <v>147</v>
      </c>
    </row>
    <row r="22" spans="1:9" ht="80.099999999999994" customHeight="1" x14ac:dyDescent="0.25">
      <c r="A22" s="9">
        <v>15</v>
      </c>
      <c r="B22" s="7" t="s">
        <v>23</v>
      </c>
      <c r="C22" s="14">
        <v>1699520159</v>
      </c>
      <c r="D22" s="4" t="s">
        <v>22</v>
      </c>
      <c r="E22" s="3">
        <v>42222</v>
      </c>
      <c r="F22" s="11"/>
      <c r="G22" s="45" t="s">
        <v>117</v>
      </c>
      <c r="H22" s="13"/>
      <c r="I22" s="36" t="s">
        <v>146</v>
      </c>
    </row>
    <row r="23" spans="1:9" ht="80.099999999999994" customHeight="1" x14ac:dyDescent="0.25">
      <c r="A23" s="9">
        <v>16</v>
      </c>
      <c r="B23" s="7" t="s">
        <v>26</v>
      </c>
      <c r="C23" s="14">
        <v>8146570018</v>
      </c>
      <c r="D23" s="4" t="s">
        <v>24</v>
      </c>
      <c r="E23" s="3">
        <v>42209</v>
      </c>
      <c r="F23" s="3">
        <v>44926</v>
      </c>
      <c r="G23" s="4" t="s">
        <v>118</v>
      </c>
      <c r="H23" s="13">
        <f>211565.08+70000+35000+35000+17500+52500+54000+54000+18000</f>
        <v>547565.07999999996</v>
      </c>
      <c r="I23" s="36" t="s">
        <v>146</v>
      </c>
    </row>
    <row r="24" spans="1:9" ht="80.099999999999994" customHeight="1" x14ac:dyDescent="0.25">
      <c r="A24" s="9">
        <v>17</v>
      </c>
      <c r="B24" s="8" t="s">
        <v>28</v>
      </c>
      <c r="C24" s="14">
        <v>7583180968</v>
      </c>
      <c r="D24" s="4" t="s">
        <v>27</v>
      </c>
      <c r="E24" s="24">
        <v>42594</v>
      </c>
      <c r="F24" s="3">
        <v>42958</v>
      </c>
      <c r="G24" s="66" t="s">
        <v>121</v>
      </c>
      <c r="H24" s="13">
        <f>80095.87+13938.22+89650.94+25065.6</f>
        <v>208750.63</v>
      </c>
      <c r="I24" s="1" t="s">
        <v>147</v>
      </c>
    </row>
    <row r="25" spans="1:9" ht="80.099999999999994" customHeight="1" x14ac:dyDescent="0.25">
      <c r="A25" s="9">
        <v>18</v>
      </c>
      <c r="B25" s="8" t="s">
        <v>114</v>
      </c>
      <c r="C25" s="14">
        <v>3301630962</v>
      </c>
      <c r="D25" s="4" t="s">
        <v>115</v>
      </c>
      <c r="E25" s="3">
        <v>42795</v>
      </c>
      <c r="F25" s="3">
        <v>42855</v>
      </c>
      <c r="G25" s="4" t="s">
        <v>116</v>
      </c>
      <c r="H25" s="13">
        <f>48850.705+15666.08</f>
        <v>64516.785000000003</v>
      </c>
      <c r="I25" s="1" t="s">
        <v>147</v>
      </c>
    </row>
    <row r="26" spans="1:9" ht="80.099999999999994" customHeight="1" x14ac:dyDescent="0.25">
      <c r="A26" s="9">
        <v>19</v>
      </c>
      <c r="B26" s="8" t="s">
        <v>66</v>
      </c>
      <c r="C26" s="14">
        <v>3470730288</v>
      </c>
      <c r="D26" s="4" t="s">
        <v>29</v>
      </c>
      <c r="E26" s="3">
        <v>42629</v>
      </c>
      <c r="F26" s="3">
        <v>43723</v>
      </c>
      <c r="G26" s="44" t="s">
        <v>120</v>
      </c>
      <c r="H26" s="13">
        <f>72590+6138.85+555+1192.5+2000+16000+480+1560+500+2000+384+730+1680+2000+250+2000+3840+5160+2000+16000+2000+1185+250+2000+6288.75+2000+250+2000+2000+500+3460.8+2000+399.75+2000</f>
        <v>163394.65</v>
      </c>
      <c r="I26" s="36" t="s">
        <v>146</v>
      </c>
    </row>
    <row r="27" spans="1:9" ht="80.099999999999994" customHeight="1" x14ac:dyDescent="0.25">
      <c r="A27" s="9">
        <v>20</v>
      </c>
      <c r="B27" s="8" t="s">
        <v>38</v>
      </c>
      <c r="C27" s="14">
        <v>4794050585</v>
      </c>
      <c r="D27" s="4" t="s">
        <v>30</v>
      </c>
      <c r="E27" s="3">
        <v>42488</v>
      </c>
      <c r="F27" s="3">
        <v>42853</v>
      </c>
      <c r="G27" s="43" t="s">
        <v>119</v>
      </c>
      <c r="H27" s="13">
        <v>59224.55</v>
      </c>
      <c r="I27" s="1" t="s">
        <v>147</v>
      </c>
    </row>
    <row r="28" spans="1:9" ht="80.099999999999994" customHeight="1" x14ac:dyDescent="0.25">
      <c r="A28" s="9">
        <v>21</v>
      </c>
      <c r="B28" s="8" t="s">
        <v>36</v>
      </c>
      <c r="C28" s="14">
        <v>9730271005</v>
      </c>
      <c r="D28" s="4" t="s">
        <v>31</v>
      </c>
      <c r="E28" s="3">
        <v>42209</v>
      </c>
      <c r="F28" s="12" t="s">
        <v>32</v>
      </c>
      <c r="G28" s="46" t="s">
        <v>241</v>
      </c>
      <c r="H28" s="13">
        <f>45958.4+57448+48807.82+11489.7+54180+22517.21+72136.3+68937.6+68937.6+68937.6</f>
        <v>519350.23</v>
      </c>
      <c r="I28" s="36" t="s">
        <v>146</v>
      </c>
    </row>
    <row r="29" spans="1:9" ht="80.099999999999994" customHeight="1" x14ac:dyDescent="0.25">
      <c r="A29" s="9">
        <v>22</v>
      </c>
      <c r="B29" s="8" t="s">
        <v>35</v>
      </c>
      <c r="C29" s="14">
        <v>13366030156</v>
      </c>
      <c r="D29" s="4" t="s">
        <v>44</v>
      </c>
      <c r="E29" s="3">
        <v>43133</v>
      </c>
      <c r="F29" s="3">
        <v>43159</v>
      </c>
      <c r="G29" s="43" t="s">
        <v>33</v>
      </c>
      <c r="H29" s="13">
        <f>17226.39+8423.59+4579.56+4334.8+2795.24+4570.04+3810.4+4670.61+3805.48+3923.32+4111</f>
        <v>62250.430000000008</v>
      </c>
      <c r="I29" s="1" t="s">
        <v>147</v>
      </c>
    </row>
    <row r="30" spans="1:9" ht="80.099999999999994" customHeight="1" x14ac:dyDescent="0.25">
      <c r="A30" s="9">
        <v>23</v>
      </c>
      <c r="B30" s="8" t="s">
        <v>35</v>
      </c>
      <c r="C30" s="14">
        <v>13366030156</v>
      </c>
      <c r="D30" s="4" t="s">
        <v>140</v>
      </c>
      <c r="E30" s="3">
        <v>42782</v>
      </c>
      <c r="F30" s="3">
        <v>43084</v>
      </c>
      <c r="G30" s="43" t="s">
        <v>43</v>
      </c>
      <c r="H30" s="13">
        <f>19433.05+11000.39+5348.97+4819.96+3870.18+4494.64+5373.32+1688.71</f>
        <v>56029.219999999994</v>
      </c>
      <c r="I30" s="1" t="s">
        <v>150</v>
      </c>
    </row>
    <row r="31" spans="1:9" ht="80.099999999999994" customHeight="1" x14ac:dyDescent="0.25">
      <c r="A31" s="9">
        <v>24</v>
      </c>
      <c r="B31" s="8" t="s">
        <v>34</v>
      </c>
      <c r="C31" s="14">
        <v>830660155</v>
      </c>
      <c r="D31" s="4" t="s">
        <v>45</v>
      </c>
      <c r="E31" s="3">
        <v>43089</v>
      </c>
      <c r="F31" s="3">
        <v>43465</v>
      </c>
      <c r="G31" s="4" t="s">
        <v>37</v>
      </c>
      <c r="H31" s="52">
        <f>5819+5759</f>
        <v>11578</v>
      </c>
      <c r="I31" s="1" t="s">
        <v>147</v>
      </c>
    </row>
    <row r="32" spans="1:9" ht="80.099999999999994" customHeight="1" x14ac:dyDescent="0.25">
      <c r="A32" s="9">
        <v>25</v>
      </c>
      <c r="B32" s="8" t="s">
        <v>41</v>
      </c>
      <c r="C32" s="14">
        <v>11274970158</v>
      </c>
      <c r="D32" s="4" t="s">
        <v>39</v>
      </c>
      <c r="E32" s="3">
        <v>43818</v>
      </c>
      <c r="F32" s="12" t="s">
        <v>332</v>
      </c>
      <c r="G32" s="4" t="s">
        <v>40</v>
      </c>
      <c r="H32" s="22"/>
      <c r="I32" s="36" t="s">
        <v>146</v>
      </c>
    </row>
    <row r="33" spans="1:9" ht="80.099999999999994" customHeight="1" x14ac:dyDescent="0.25">
      <c r="A33" s="9">
        <v>26</v>
      </c>
      <c r="B33" s="8" t="s">
        <v>283</v>
      </c>
      <c r="C33" s="25" t="s">
        <v>279</v>
      </c>
      <c r="D33" s="4" t="s">
        <v>42</v>
      </c>
      <c r="E33" s="12">
        <v>42663</v>
      </c>
      <c r="F33" s="12" t="s">
        <v>68</v>
      </c>
      <c r="G33" s="38" t="s">
        <v>67</v>
      </c>
      <c r="H33" s="13">
        <f>3748.28+3092.04</f>
        <v>6840.32</v>
      </c>
      <c r="I33" s="36" t="s">
        <v>146</v>
      </c>
    </row>
    <row r="34" spans="1:9" ht="80.099999999999994" customHeight="1" x14ac:dyDescent="0.25">
      <c r="A34" s="9">
        <v>27</v>
      </c>
      <c r="B34" s="8" t="s">
        <v>46</v>
      </c>
      <c r="C34" s="25" t="s">
        <v>82</v>
      </c>
      <c r="D34" s="4" t="s">
        <v>47</v>
      </c>
      <c r="E34" s="12">
        <v>42782</v>
      </c>
      <c r="F34" s="12" t="s">
        <v>48</v>
      </c>
      <c r="G34" s="47" t="s">
        <v>49</v>
      </c>
      <c r="H34" s="13"/>
      <c r="I34" s="36" t="s">
        <v>146</v>
      </c>
    </row>
    <row r="35" spans="1:9" ht="80.099999999999994" customHeight="1" x14ac:dyDescent="0.25">
      <c r="A35" s="9">
        <v>28</v>
      </c>
      <c r="B35" s="8" t="s">
        <v>55</v>
      </c>
      <c r="C35" s="14">
        <v>97081660157</v>
      </c>
      <c r="D35" s="4" t="s">
        <v>54</v>
      </c>
      <c r="E35" s="12">
        <v>42338</v>
      </c>
      <c r="F35" s="12" t="s">
        <v>231</v>
      </c>
      <c r="G35" s="48" t="s">
        <v>69</v>
      </c>
      <c r="H35" s="13">
        <f>9871.02+1645.17+1348.5+1348.5+1348.5+1348.5+1348.5</f>
        <v>18258.690000000002</v>
      </c>
      <c r="I35" s="36" t="s">
        <v>146</v>
      </c>
    </row>
    <row r="36" spans="1:9" ht="80.099999999999994" customHeight="1" x14ac:dyDescent="0.25">
      <c r="A36" s="9">
        <v>29</v>
      </c>
      <c r="B36" s="8" t="s">
        <v>56</v>
      </c>
      <c r="C36" s="25" t="s">
        <v>83</v>
      </c>
      <c r="D36" s="4" t="s">
        <v>57</v>
      </c>
      <c r="E36" s="31" t="s">
        <v>350</v>
      </c>
      <c r="F36" s="31" t="s">
        <v>351</v>
      </c>
      <c r="G36" s="85" t="s">
        <v>368</v>
      </c>
      <c r="H36" s="13">
        <f>5264.67+10529.34+5264.67+4315.3+4315.3+4315.3+4315.3+4315.3+4315.3+4315.3+4315.3+4315.3+4315.3+4315.3+4315.3+4315.3+4315.3+4315.3+4315.3+4315.3+4315.3+4315.3+4315.3+4315.3+4315.3+4315.3+4315.3+4315.3+4315.3+4315.3+4315.3+4315.3</f>
        <v>146202.38000000003</v>
      </c>
      <c r="I36" s="36" t="s">
        <v>146</v>
      </c>
    </row>
    <row r="37" spans="1:9" ht="80.099999999999994" customHeight="1" x14ac:dyDescent="0.25">
      <c r="A37" s="9">
        <v>30</v>
      </c>
      <c r="B37" s="8" t="s">
        <v>59</v>
      </c>
      <c r="C37" s="14">
        <v>7739320963</v>
      </c>
      <c r="D37" s="4" t="s">
        <v>58</v>
      </c>
      <c r="E37" s="12">
        <v>42383</v>
      </c>
      <c r="F37" s="12">
        <v>43113</v>
      </c>
      <c r="G37" s="49" t="s">
        <v>70</v>
      </c>
      <c r="H37" s="13">
        <f>22999.95+3066.66+1533.33+1533.33+1533.33+1533.33+1533.33+1533.33</f>
        <v>35266.590000000011</v>
      </c>
      <c r="I37" s="1" t="s">
        <v>147</v>
      </c>
    </row>
    <row r="38" spans="1:9" ht="80.099999999999994" customHeight="1" x14ac:dyDescent="0.25">
      <c r="A38" s="9">
        <v>31</v>
      </c>
      <c r="B38" s="8" t="s">
        <v>71</v>
      </c>
      <c r="C38" s="25" t="s">
        <v>171</v>
      </c>
      <c r="D38" s="4" t="s">
        <v>73</v>
      </c>
      <c r="E38" s="12">
        <v>42129</v>
      </c>
      <c r="F38" s="12" t="s">
        <v>72</v>
      </c>
      <c r="G38" s="38" t="s">
        <v>74</v>
      </c>
      <c r="H38" s="13">
        <f>166496.65+393838.44+41839.49+49546.07</f>
        <v>651720.64999999991</v>
      </c>
      <c r="I38" s="1" t="s">
        <v>218</v>
      </c>
    </row>
    <row r="39" spans="1:9" ht="80.099999999999994" customHeight="1" x14ac:dyDescent="0.25">
      <c r="A39" s="9">
        <v>32</v>
      </c>
      <c r="B39" s="8" t="s">
        <v>75</v>
      </c>
      <c r="C39" s="14">
        <v>10527000151</v>
      </c>
      <c r="D39" s="4" t="s">
        <v>76</v>
      </c>
      <c r="E39" s="12">
        <v>42272</v>
      </c>
      <c r="F39" s="12" t="s">
        <v>78</v>
      </c>
      <c r="G39" s="38" t="s">
        <v>77</v>
      </c>
      <c r="H39" s="13">
        <f>20015.13+6930</f>
        <v>26945.13</v>
      </c>
      <c r="I39" s="1" t="s">
        <v>147</v>
      </c>
    </row>
    <row r="40" spans="1:9" ht="80.099999999999994" customHeight="1" x14ac:dyDescent="0.25">
      <c r="A40" s="9">
        <v>33</v>
      </c>
      <c r="B40" s="8" t="s">
        <v>85</v>
      </c>
      <c r="C40" s="25" t="s">
        <v>88</v>
      </c>
      <c r="D40" s="4" t="s">
        <v>91</v>
      </c>
      <c r="E40" s="12">
        <v>42795</v>
      </c>
      <c r="F40" s="12" t="s">
        <v>94</v>
      </c>
      <c r="G40" s="49">
        <f>14000+14000*15%+14000*4%</f>
        <v>16660</v>
      </c>
      <c r="H40" s="13">
        <f>13524+1449</f>
        <v>14973</v>
      </c>
      <c r="I40" s="1" t="s">
        <v>147</v>
      </c>
    </row>
    <row r="41" spans="1:9" ht="80.099999999999994" customHeight="1" x14ac:dyDescent="0.25">
      <c r="A41" s="9">
        <v>34</v>
      </c>
      <c r="B41" s="8" t="s">
        <v>86</v>
      </c>
      <c r="C41" s="25" t="s">
        <v>89</v>
      </c>
      <c r="D41" s="4" t="s">
        <v>92</v>
      </c>
      <c r="E41" s="12">
        <v>42825</v>
      </c>
      <c r="F41" s="12" t="s">
        <v>95</v>
      </c>
      <c r="G41" s="70" t="s">
        <v>96</v>
      </c>
      <c r="H41" s="13">
        <f>1777.54+750+600+600+1000+750+449+400+750+355+750</f>
        <v>8181.54</v>
      </c>
      <c r="I41" s="36" t="s">
        <v>146</v>
      </c>
    </row>
    <row r="42" spans="1:9" ht="80.099999999999994" customHeight="1" x14ac:dyDescent="0.25">
      <c r="A42" s="9">
        <v>35</v>
      </c>
      <c r="B42" s="8" t="s">
        <v>87</v>
      </c>
      <c r="C42" s="25" t="s">
        <v>90</v>
      </c>
      <c r="D42" s="4" t="s">
        <v>93</v>
      </c>
      <c r="E42" s="12">
        <v>42851</v>
      </c>
      <c r="F42" s="12" t="s">
        <v>97</v>
      </c>
      <c r="G42" s="49" t="s">
        <v>98</v>
      </c>
      <c r="H42" s="13">
        <f>9109.74+10500+10500+10500+10500+10500+10500+10500+10500+10500</f>
        <v>103609.73999999999</v>
      </c>
      <c r="I42" s="36" t="s">
        <v>146</v>
      </c>
    </row>
    <row r="43" spans="1:9" ht="80.099999999999994" customHeight="1" x14ac:dyDescent="0.25">
      <c r="A43" s="9">
        <v>36</v>
      </c>
      <c r="B43" s="8" t="s">
        <v>99</v>
      </c>
      <c r="C43" s="25">
        <v>13325521006</v>
      </c>
      <c r="D43" s="4" t="s">
        <v>151</v>
      </c>
      <c r="E43" s="12">
        <v>42866</v>
      </c>
      <c r="F43" s="12" t="s">
        <v>100</v>
      </c>
      <c r="G43" s="70" t="s">
        <v>152</v>
      </c>
      <c r="H43" s="13">
        <v>25740</v>
      </c>
      <c r="I43" s="36" t="s">
        <v>146</v>
      </c>
    </row>
    <row r="44" spans="1:9" ht="80.099999999999994" customHeight="1" x14ac:dyDescent="0.25">
      <c r="A44" s="9">
        <v>37</v>
      </c>
      <c r="B44" s="8" t="s">
        <v>80</v>
      </c>
      <c r="C44" s="14">
        <v>1742310152</v>
      </c>
      <c r="D44" s="4" t="s">
        <v>21</v>
      </c>
      <c r="E44" s="3">
        <v>42881</v>
      </c>
      <c r="F44" s="12" t="s">
        <v>202</v>
      </c>
      <c r="G44" s="65" t="s">
        <v>203</v>
      </c>
      <c r="H44" s="13">
        <f>915478.24+457739.12+228869.57+114434.78+114434.75</f>
        <v>1830956.46</v>
      </c>
      <c r="I44" s="1" t="s">
        <v>147</v>
      </c>
    </row>
    <row r="45" spans="1:9" ht="80.099999999999994" customHeight="1" x14ac:dyDescent="0.25">
      <c r="A45" s="9">
        <v>38</v>
      </c>
      <c r="B45" s="8" t="s">
        <v>101</v>
      </c>
      <c r="C45" s="25">
        <v>10495590159</v>
      </c>
      <c r="D45" s="4" t="s">
        <v>102</v>
      </c>
      <c r="E45" s="12">
        <v>42914</v>
      </c>
      <c r="F45" s="12" t="s">
        <v>103</v>
      </c>
      <c r="G45" s="50">
        <v>240</v>
      </c>
      <c r="H45" s="13">
        <f>120+240</f>
        <v>360</v>
      </c>
      <c r="I45" s="36" t="s">
        <v>146</v>
      </c>
    </row>
    <row r="46" spans="1:9" ht="87" customHeight="1" x14ac:dyDescent="0.25">
      <c r="A46" s="9">
        <v>39</v>
      </c>
      <c r="B46" s="8" t="s">
        <v>80</v>
      </c>
      <c r="C46" s="25" t="s">
        <v>104</v>
      </c>
      <c r="D46" s="4" t="s">
        <v>105</v>
      </c>
      <c r="E46" s="24">
        <v>42956</v>
      </c>
      <c r="F46" s="12" t="s">
        <v>106</v>
      </c>
      <c r="G46" s="72" t="s">
        <v>107</v>
      </c>
      <c r="H46" s="13">
        <f>1077740.69+1849690.6+434572.12+390054.64+373612.75+460172.68+302538.86+44710.78</f>
        <v>4933093.120000001</v>
      </c>
      <c r="I46" s="36" t="s">
        <v>146</v>
      </c>
    </row>
    <row r="47" spans="1:9" ht="80.099999999999994" customHeight="1" x14ac:dyDescent="0.25">
      <c r="A47" s="9">
        <v>40</v>
      </c>
      <c r="B47" s="8" t="s">
        <v>126</v>
      </c>
      <c r="C47" s="25">
        <v>3380410104</v>
      </c>
      <c r="D47" s="4" t="s">
        <v>127</v>
      </c>
      <c r="E47" s="12">
        <v>42923</v>
      </c>
      <c r="F47" s="12" t="s">
        <v>112</v>
      </c>
      <c r="G47" s="13" t="s">
        <v>239</v>
      </c>
      <c r="H47" s="13">
        <f>2575+2575+12800+2575+2575+2575+2575+2575+2575+2575+2575</f>
        <v>38550</v>
      </c>
      <c r="I47" s="36" t="s">
        <v>146</v>
      </c>
    </row>
    <row r="48" spans="1:9" ht="80.099999999999994" customHeight="1" x14ac:dyDescent="0.25">
      <c r="A48" s="9">
        <v>41</v>
      </c>
      <c r="B48" s="8" t="s">
        <v>109</v>
      </c>
      <c r="C48" s="25" t="s">
        <v>110</v>
      </c>
      <c r="D48" s="4" t="s">
        <v>111</v>
      </c>
      <c r="E48" s="12">
        <v>42900</v>
      </c>
      <c r="F48" s="12" t="s">
        <v>112</v>
      </c>
      <c r="G48" s="64" t="s">
        <v>113</v>
      </c>
      <c r="H48" s="29">
        <f>3125+3125+3141+1041.67+3125+3125+3125+3125+3125+3125+3125+3125</f>
        <v>35432.67</v>
      </c>
      <c r="I48" s="36" t="s">
        <v>146</v>
      </c>
    </row>
    <row r="49" spans="1:9" ht="80.099999999999994" customHeight="1" x14ac:dyDescent="0.25">
      <c r="A49" s="9">
        <v>42</v>
      </c>
      <c r="B49" s="8" t="s">
        <v>114</v>
      </c>
      <c r="C49" s="14">
        <v>3301630962</v>
      </c>
      <c r="D49" s="28" t="s">
        <v>115</v>
      </c>
      <c r="E49" s="12">
        <v>43005</v>
      </c>
      <c r="F49" s="12" t="s">
        <v>112</v>
      </c>
      <c r="G49" s="64" t="s">
        <v>128</v>
      </c>
      <c r="H49" s="13">
        <f>9832.14+9544.5+12144.24+12144.22+12144.24+12144.24+12144.24+12124.24</f>
        <v>92222.060000000012</v>
      </c>
      <c r="I49" s="36" t="s">
        <v>146</v>
      </c>
    </row>
    <row r="50" spans="1:9" ht="80.099999999999994" customHeight="1" x14ac:dyDescent="0.25">
      <c r="A50" s="9">
        <v>43</v>
      </c>
      <c r="B50" s="8" t="s">
        <v>129</v>
      </c>
      <c r="C50" s="25" t="s">
        <v>130</v>
      </c>
      <c r="D50" s="4" t="s">
        <v>131</v>
      </c>
      <c r="E50" s="3">
        <v>43020</v>
      </c>
      <c r="F50" s="12" t="s">
        <v>132</v>
      </c>
      <c r="G50" s="64" t="s">
        <v>133</v>
      </c>
      <c r="H50" s="29">
        <f>335.33+495+495+495+495+495+495+495+495+495+495+495+495+495+495+495+495+495+495+495</f>
        <v>9740.33</v>
      </c>
      <c r="I50" s="36" t="s">
        <v>146</v>
      </c>
    </row>
    <row r="51" spans="1:9" ht="80.099999999999994" customHeight="1" x14ac:dyDescent="0.25">
      <c r="A51" s="9">
        <v>44</v>
      </c>
      <c r="B51" s="8" t="s">
        <v>126</v>
      </c>
      <c r="C51" s="25">
        <v>3380410104</v>
      </c>
      <c r="D51" s="30" t="s">
        <v>134</v>
      </c>
      <c r="E51" s="34">
        <v>43013</v>
      </c>
      <c r="F51" s="31" t="s">
        <v>112</v>
      </c>
      <c r="G51" s="69" t="s">
        <v>135</v>
      </c>
      <c r="H51" s="59">
        <f>10000+6000+6000+6000</f>
        <v>28000</v>
      </c>
      <c r="I51" s="36" t="s">
        <v>146</v>
      </c>
    </row>
    <row r="52" spans="1:9" ht="80.099999999999994" customHeight="1" x14ac:dyDescent="0.25">
      <c r="A52" s="9">
        <v>45</v>
      </c>
      <c r="B52" s="8" t="s">
        <v>136</v>
      </c>
      <c r="C52" s="25" t="s">
        <v>137</v>
      </c>
      <c r="D52" s="4" t="s">
        <v>139</v>
      </c>
      <c r="E52" s="34">
        <v>43033</v>
      </c>
      <c r="F52" s="31" t="s">
        <v>138</v>
      </c>
      <c r="G52" s="64">
        <v>26400</v>
      </c>
      <c r="H52" s="29">
        <f>482.58+440+440+440+20+440+440+440+440+440+440+440+440+440+440+440+440+440+440+400+440+440+440+440+440+440+440</f>
        <v>11462.58</v>
      </c>
      <c r="I52" s="36" t="s">
        <v>146</v>
      </c>
    </row>
    <row r="53" spans="1:9" ht="80.099999999999994" customHeight="1" x14ac:dyDescent="0.25">
      <c r="A53" s="9">
        <v>46</v>
      </c>
      <c r="B53" s="8" t="s">
        <v>141</v>
      </c>
      <c r="C53" s="25" t="s">
        <v>142</v>
      </c>
      <c r="D53" s="4" t="s">
        <v>143</v>
      </c>
      <c r="E53" s="34">
        <v>43047</v>
      </c>
      <c r="F53" s="12" t="s">
        <v>144</v>
      </c>
      <c r="G53" s="33" t="s">
        <v>145</v>
      </c>
      <c r="H53" s="29">
        <v>5040</v>
      </c>
      <c r="I53" s="1" t="s">
        <v>147</v>
      </c>
    </row>
    <row r="54" spans="1:9" ht="80.099999999999994" customHeight="1" x14ac:dyDescent="0.25">
      <c r="A54" s="9">
        <v>47</v>
      </c>
      <c r="B54" s="8" t="s">
        <v>28</v>
      </c>
      <c r="C54" s="14">
        <v>7583180968</v>
      </c>
      <c r="D54" s="30" t="s">
        <v>27</v>
      </c>
      <c r="E54" s="32">
        <v>43011</v>
      </c>
      <c r="F54" s="34">
        <v>43151</v>
      </c>
      <c r="G54" s="66" t="s">
        <v>148</v>
      </c>
      <c r="H54" s="1"/>
      <c r="I54" s="1" t="s">
        <v>147</v>
      </c>
    </row>
    <row r="55" spans="1:9" ht="80.099999999999994" customHeight="1" x14ac:dyDescent="0.25">
      <c r="A55" s="9">
        <v>48</v>
      </c>
      <c r="B55" s="8" t="s">
        <v>114</v>
      </c>
      <c r="C55" s="14">
        <v>3301630962</v>
      </c>
      <c r="D55" s="28" t="s">
        <v>161</v>
      </c>
      <c r="E55" s="12">
        <v>43056</v>
      </c>
      <c r="F55" s="12"/>
      <c r="G55" s="64" t="s">
        <v>181</v>
      </c>
      <c r="H55" s="29">
        <f>6720+2520</f>
        <v>9240</v>
      </c>
      <c r="I55" s="1" t="s">
        <v>147</v>
      </c>
    </row>
    <row r="56" spans="1:9" ht="80.099999999999994" customHeight="1" x14ac:dyDescent="0.25">
      <c r="A56" s="9">
        <v>49</v>
      </c>
      <c r="B56" s="23" t="s">
        <v>153</v>
      </c>
      <c r="C56" s="75" t="s">
        <v>154</v>
      </c>
      <c r="D56" s="4" t="s">
        <v>155</v>
      </c>
      <c r="E56" s="71">
        <v>43066</v>
      </c>
      <c r="F56" s="31" t="s">
        <v>357</v>
      </c>
      <c r="G56" s="84" t="s">
        <v>358</v>
      </c>
      <c r="H56" s="29">
        <f>9660.2+9660.2+14490.3+14490.3+9660.2+9660.2+9660.2+14490+14490+9611.9</f>
        <v>115873.49999999999</v>
      </c>
      <c r="I56" s="36" t="s">
        <v>146</v>
      </c>
    </row>
    <row r="57" spans="1:9" ht="80.099999999999994" customHeight="1" x14ac:dyDescent="0.25">
      <c r="A57" s="9">
        <v>50</v>
      </c>
      <c r="B57" s="8" t="s">
        <v>162</v>
      </c>
      <c r="C57" s="25" t="s">
        <v>163</v>
      </c>
      <c r="D57" s="4" t="s">
        <v>58</v>
      </c>
      <c r="E57" s="12" t="s">
        <v>225</v>
      </c>
      <c r="F57" s="12" t="s">
        <v>226</v>
      </c>
      <c r="G57" s="57" t="s">
        <v>236</v>
      </c>
      <c r="H57" s="29">
        <f>557.6+1533.33+1533.33+1533.33+1533.33+1533.33+1533.33+1000+2750+3300+3300</f>
        <v>20107.580000000002</v>
      </c>
      <c r="I57" s="1" t="s">
        <v>147</v>
      </c>
    </row>
    <row r="58" spans="1:9" ht="80.099999999999994" customHeight="1" x14ac:dyDescent="0.25">
      <c r="A58" s="9">
        <v>51</v>
      </c>
      <c r="B58" s="8" t="s">
        <v>164</v>
      </c>
      <c r="C58" s="25" t="s">
        <v>165</v>
      </c>
      <c r="D58" s="4" t="s">
        <v>166</v>
      </c>
      <c r="E58" s="32">
        <v>43118</v>
      </c>
      <c r="F58" s="12" t="s">
        <v>167</v>
      </c>
      <c r="G58" s="68" t="s">
        <v>168</v>
      </c>
      <c r="H58" s="29">
        <f>12579+4200+16005.28+16005.28+16005.28+16005.28+16005.28+16005.28+16005.28</f>
        <v>128815.95999999999</v>
      </c>
      <c r="I58" s="36" t="s">
        <v>367</v>
      </c>
    </row>
    <row r="59" spans="1:9" ht="80.099999999999994" customHeight="1" x14ac:dyDescent="0.25">
      <c r="A59" s="9">
        <v>52</v>
      </c>
      <c r="B59" s="8" t="s">
        <v>71</v>
      </c>
      <c r="C59" s="25" t="s">
        <v>171</v>
      </c>
      <c r="D59" s="4" t="s">
        <v>170</v>
      </c>
      <c r="E59" s="12">
        <v>43140</v>
      </c>
      <c r="F59" s="12" t="s">
        <v>72</v>
      </c>
      <c r="G59" s="38" t="s">
        <v>169</v>
      </c>
      <c r="H59" s="13">
        <f>10424.57+8215.37+7979.24+7779.24+7784.94+7783.33+7729.24</f>
        <v>57695.93</v>
      </c>
      <c r="I59" s="36" t="s">
        <v>146</v>
      </c>
    </row>
    <row r="60" spans="1:9" ht="80.099999999999994" customHeight="1" x14ac:dyDescent="0.25">
      <c r="A60" s="9">
        <v>53</v>
      </c>
      <c r="B60" s="8" t="s">
        <v>215</v>
      </c>
      <c r="C60" s="25" t="s">
        <v>174</v>
      </c>
      <c r="D60" s="4" t="s">
        <v>175</v>
      </c>
      <c r="E60" s="12">
        <v>43144</v>
      </c>
      <c r="F60" s="12" t="s">
        <v>176</v>
      </c>
      <c r="G60" s="39">
        <v>27000</v>
      </c>
      <c r="H60" s="13">
        <f>18900+8100</f>
        <v>27000</v>
      </c>
      <c r="I60" s="1" t="s">
        <v>147</v>
      </c>
    </row>
    <row r="61" spans="1:9" ht="80.099999999999994" customHeight="1" x14ac:dyDescent="0.25">
      <c r="A61" s="9">
        <v>54</v>
      </c>
      <c r="B61" s="8" t="s">
        <v>177</v>
      </c>
      <c r="C61" s="25">
        <v>7931520964</v>
      </c>
      <c r="D61" s="4" t="s">
        <v>178</v>
      </c>
      <c r="E61" s="12">
        <v>43069</v>
      </c>
      <c r="F61" s="12" t="s">
        <v>179</v>
      </c>
      <c r="G61" s="40" t="s">
        <v>180</v>
      </c>
      <c r="H61" s="13">
        <v>56095.5</v>
      </c>
      <c r="I61" s="1" t="s">
        <v>147</v>
      </c>
    </row>
    <row r="62" spans="1:9" ht="80.099999999999994" customHeight="1" x14ac:dyDescent="0.25">
      <c r="A62" s="9">
        <v>55</v>
      </c>
      <c r="B62" s="8" t="s">
        <v>182</v>
      </c>
      <c r="C62" s="25" t="s">
        <v>183</v>
      </c>
      <c r="D62" s="4" t="s">
        <v>184</v>
      </c>
      <c r="E62" s="12">
        <v>43083</v>
      </c>
      <c r="F62" s="12" t="s">
        <v>185</v>
      </c>
      <c r="G62" s="13" t="s">
        <v>186</v>
      </c>
      <c r="H62" s="13">
        <v>3200</v>
      </c>
      <c r="I62" s="1" t="s">
        <v>147</v>
      </c>
    </row>
    <row r="63" spans="1:9" ht="80.099999999999994" customHeight="1" x14ac:dyDescent="0.25">
      <c r="A63" s="9">
        <v>56</v>
      </c>
      <c r="B63" s="8" t="s">
        <v>265</v>
      </c>
      <c r="C63" s="25" t="s">
        <v>190</v>
      </c>
      <c r="D63" s="4" t="s">
        <v>187</v>
      </c>
      <c r="E63" s="12">
        <v>43090</v>
      </c>
      <c r="F63" s="12" t="s">
        <v>188</v>
      </c>
      <c r="G63" s="13" t="s">
        <v>189</v>
      </c>
      <c r="H63" s="13">
        <v>9660</v>
      </c>
      <c r="I63" s="1" t="s">
        <v>147</v>
      </c>
    </row>
    <row r="64" spans="1:9" ht="180" x14ac:dyDescent="0.25">
      <c r="A64" s="9">
        <v>57</v>
      </c>
      <c r="B64" s="8" t="s">
        <v>191</v>
      </c>
      <c r="C64" s="25">
        <v>12883390150</v>
      </c>
      <c r="D64" s="4" t="s">
        <v>317</v>
      </c>
      <c r="E64" s="47" t="s">
        <v>316</v>
      </c>
      <c r="F64" s="12" t="s">
        <v>192</v>
      </c>
      <c r="G64" s="41">
        <f>342000+15000</f>
        <v>357000</v>
      </c>
      <c r="H64" s="53">
        <f>15000+29700+45000</f>
        <v>89700</v>
      </c>
      <c r="I64" s="36" t="s">
        <v>146</v>
      </c>
    </row>
    <row r="65" spans="1:9" ht="80.099999999999994" customHeight="1" x14ac:dyDescent="0.25">
      <c r="A65" s="9">
        <v>58</v>
      </c>
      <c r="B65" s="8" t="s">
        <v>193</v>
      </c>
      <c r="C65" s="25" t="s">
        <v>194</v>
      </c>
      <c r="D65" s="4" t="s">
        <v>195</v>
      </c>
      <c r="E65" s="12">
        <v>43202</v>
      </c>
      <c r="F65" s="12" t="s">
        <v>196</v>
      </c>
      <c r="G65" s="41" t="s">
        <v>197</v>
      </c>
      <c r="H65" s="13">
        <f>4420+4420</f>
        <v>8840</v>
      </c>
      <c r="I65" s="1" t="s">
        <v>147</v>
      </c>
    </row>
    <row r="66" spans="1:9" ht="80.099999999999994" customHeight="1" x14ac:dyDescent="0.25">
      <c r="A66" s="9">
        <v>59</v>
      </c>
      <c r="B66" s="8" t="s">
        <v>28</v>
      </c>
      <c r="C66" s="14">
        <v>7583180968</v>
      </c>
      <c r="D66" s="30" t="s">
        <v>27</v>
      </c>
      <c r="E66" s="32">
        <v>43223</v>
      </c>
      <c r="F66" s="3" t="s">
        <v>198</v>
      </c>
      <c r="G66" s="63" t="s">
        <v>199</v>
      </c>
      <c r="H66" s="59">
        <f>48679.56+19706.53</f>
        <v>68386.09</v>
      </c>
      <c r="I66" s="36" t="s">
        <v>146</v>
      </c>
    </row>
    <row r="67" spans="1:9" ht="80.099999999999994" customHeight="1" x14ac:dyDescent="0.25">
      <c r="A67" s="9">
        <v>60</v>
      </c>
      <c r="B67" s="8" t="s">
        <v>126</v>
      </c>
      <c r="C67" s="25">
        <v>3380410104</v>
      </c>
      <c r="D67" s="4" t="s">
        <v>200</v>
      </c>
      <c r="E67" s="31">
        <v>43257</v>
      </c>
      <c r="F67" s="12" t="s">
        <v>201</v>
      </c>
      <c r="G67" s="62" t="s">
        <v>240</v>
      </c>
      <c r="H67" s="59">
        <f>5000+15000+5000+5000+15000</f>
        <v>45000</v>
      </c>
      <c r="I67" s="36" t="s">
        <v>146</v>
      </c>
    </row>
    <row r="68" spans="1:9" ht="80.099999999999994" customHeight="1" x14ac:dyDescent="0.25">
      <c r="A68" s="9">
        <v>61</v>
      </c>
      <c r="B68" s="8" t="s">
        <v>215</v>
      </c>
      <c r="C68" s="25" t="s">
        <v>174</v>
      </c>
      <c r="D68" s="4" t="s">
        <v>205</v>
      </c>
      <c r="E68" s="12">
        <v>43257</v>
      </c>
      <c r="F68" s="12" t="s">
        <v>206</v>
      </c>
      <c r="G68" s="39">
        <v>13000</v>
      </c>
      <c r="H68" s="13">
        <f>5200+7800</f>
        <v>13000</v>
      </c>
      <c r="I68" s="1" t="s">
        <v>147</v>
      </c>
    </row>
    <row r="69" spans="1:9" ht="80.099999999999994" customHeight="1" x14ac:dyDescent="0.25">
      <c r="A69" s="9">
        <v>62</v>
      </c>
      <c r="B69" s="8" t="s">
        <v>207</v>
      </c>
      <c r="C69" s="25" t="s">
        <v>208</v>
      </c>
      <c r="D69" s="4" t="s">
        <v>209</v>
      </c>
      <c r="E69" s="34">
        <v>43283</v>
      </c>
      <c r="F69" s="12" t="s">
        <v>210</v>
      </c>
      <c r="G69" s="65" t="s">
        <v>211</v>
      </c>
      <c r="H69" s="53">
        <f>9618.34+40721.99+8359.85+40721.99+9618.34+8359.85+4809.17+65898.18+20361+4179.93+9618.34+40721.99+8353.85+40721.99+8359.85+61899.46+8359.85+40721.99+49959.23+40721.99+8359.85+45549.28+9618.34+9618.34+40721.99+8359.85+68765.89+9618.34+9618.34+8359.85+40721.99+38478.3</f>
        <v>819877.5399999998</v>
      </c>
      <c r="I69" s="36" t="s">
        <v>146</v>
      </c>
    </row>
    <row r="70" spans="1:9" ht="80.099999999999994" customHeight="1" x14ac:dyDescent="0.25">
      <c r="A70" s="9">
        <v>63</v>
      </c>
      <c r="B70" s="8" t="s">
        <v>212</v>
      </c>
      <c r="C70" s="25" t="s">
        <v>213</v>
      </c>
      <c r="D70" s="4" t="s">
        <v>214</v>
      </c>
      <c r="E70" s="34">
        <v>43276</v>
      </c>
      <c r="F70" s="12" t="s">
        <v>237</v>
      </c>
      <c r="G70" s="65">
        <f>138149.13+11800</f>
        <v>149949.13</v>
      </c>
      <c r="H70" s="13">
        <f>27491.68+110657.45+11800</f>
        <v>149949.13</v>
      </c>
      <c r="I70" s="1" t="s">
        <v>147</v>
      </c>
    </row>
    <row r="71" spans="1:9" ht="80.099999999999994" customHeight="1" x14ac:dyDescent="0.25">
      <c r="A71" s="9">
        <v>64</v>
      </c>
      <c r="B71" s="8" t="s">
        <v>114</v>
      </c>
      <c r="C71" s="14">
        <v>3301630962</v>
      </c>
      <c r="D71" s="55" t="s">
        <v>216</v>
      </c>
      <c r="E71" s="31">
        <v>43312</v>
      </c>
      <c r="F71" s="56"/>
      <c r="G71" s="49" t="s">
        <v>217</v>
      </c>
      <c r="H71" s="13">
        <v>3206.4</v>
      </c>
      <c r="I71" s="1" t="s">
        <v>147</v>
      </c>
    </row>
    <row r="72" spans="1:9" ht="80.099999999999994" customHeight="1" x14ac:dyDescent="0.25">
      <c r="A72" s="9">
        <v>65</v>
      </c>
      <c r="B72" s="8" t="s">
        <v>219</v>
      </c>
      <c r="C72" s="25" t="s">
        <v>220</v>
      </c>
      <c r="D72" s="28" t="s">
        <v>221</v>
      </c>
      <c r="E72" s="31">
        <v>43369</v>
      </c>
      <c r="F72" s="58" t="s">
        <v>223</v>
      </c>
      <c r="G72" s="13" t="s">
        <v>222</v>
      </c>
      <c r="H72" s="13">
        <f>8400+8400+7500+7500</f>
        <v>31800</v>
      </c>
      <c r="I72" s="36" t="s">
        <v>146</v>
      </c>
    </row>
    <row r="73" spans="1:9" ht="80.099999999999994" customHeight="1" x14ac:dyDescent="0.25">
      <c r="A73" s="9">
        <v>66</v>
      </c>
      <c r="B73" s="8" t="s">
        <v>284</v>
      </c>
      <c r="C73" s="25" t="s">
        <v>233</v>
      </c>
      <c r="D73" s="4" t="s">
        <v>232</v>
      </c>
      <c r="E73" s="12">
        <v>43347</v>
      </c>
      <c r="F73" s="12" t="s">
        <v>235</v>
      </c>
      <c r="G73" s="61" t="s">
        <v>234</v>
      </c>
      <c r="H73" s="13">
        <f>26.38+130.09+535.33+660+660+660+660+130.09</f>
        <v>3461.8900000000003</v>
      </c>
      <c r="I73" s="36" t="s">
        <v>146</v>
      </c>
    </row>
    <row r="74" spans="1:9" ht="80.099999999999994" customHeight="1" x14ac:dyDescent="0.25">
      <c r="A74" s="9">
        <v>67</v>
      </c>
      <c r="B74" s="8" t="s">
        <v>224</v>
      </c>
      <c r="C74" s="25">
        <v>10157530964</v>
      </c>
      <c r="D74" s="4" t="s">
        <v>58</v>
      </c>
      <c r="E74" s="12" t="s">
        <v>315</v>
      </c>
      <c r="F74" s="47" t="s">
        <v>325</v>
      </c>
      <c r="G74" s="57">
        <f>19400+1616+808</f>
        <v>21824</v>
      </c>
      <c r="H74" s="29">
        <f>1617+1617+1617+1617+1617+1617+1617+1617+3234+3234+1617+888</f>
        <v>21909</v>
      </c>
      <c r="I74" s="1" t="s">
        <v>147</v>
      </c>
    </row>
    <row r="75" spans="1:9" ht="80.099999999999994" customHeight="1" x14ac:dyDescent="0.25">
      <c r="A75" s="9">
        <v>68</v>
      </c>
      <c r="B75" s="8" t="s">
        <v>227</v>
      </c>
      <c r="C75" s="14"/>
      <c r="D75" s="4" t="s">
        <v>228</v>
      </c>
      <c r="E75" s="31">
        <v>43424</v>
      </c>
      <c r="F75" s="12" t="s">
        <v>229</v>
      </c>
      <c r="G75" s="60" t="s">
        <v>230</v>
      </c>
      <c r="H75" s="29">
        <v>8000</v>
      </c>
      <c r="I75" s="1" t="s">
        <v>146</v>
      </c>
    </row>
    <row r="76" spans="1:9" ht="80.099999999999994" customHeight="1" x14ac:dyDescent="0.25">
      <c r="A76" s="9">
        <v>69</v>
      </c>
      <c r="B76" s="8" t="s">
        <v>34</v>
      </c>
      <c r="C76" s="14">
        <v>830660155</v>
      </c>
      <c r="D76" s="4" t="s">
        <v>45</v>
      </c>
      <c r="E76" s="3">
        <v>43447</v>
      </c>
      <c r="F76" s="3" t="s">
        <v>238</v>
      </c>
      <c r="G76" s="4" t="s">
        <v>37</v>
      </c>
      <c r="H76" s="13">
        <v>5819</v>
      </c>
      <c r="I76" s="36" t="s">
        <v>146</v>
      </c>
    </row>
    <row r="77" spans="1:9" ht="80.099999999999994" customHeight="1" x14ac:dyDescent="0.25">
      <c r="A77" s="9">
        <v>70</v>
      </c>
      <c r="B77" s="8" t="s">
        <v>242</v>
      </c>
      <c r="C77" s="14"/>
      <c r="D77" s="4" t="s">
        <v>243</v>
      </c>
      <c r="E77" s="31">
        <v>43474</v>
      </c>
      <c r="F77" s="47" t="s">
        <v>244</v>
      </c>
      <c r="G77" s="60" t="s">
        <v>245</v>
      </c>
      <c r="H77" s="13">
        <v>28000</v>
      </c>
      <c r="I77" s="1" t="s">
        <v>147</v>
      </c>
    </row>
    <row r="78" spans="1:9" ht="80.099999999999994" customHeight="1" x14ac:dyDescent="0.25">
      <c r="A78" s="9">
        <v>71</v>
      </c>
      <c r="B78" s="8" t="s">
        <v>246</v>
      </c>
      <c r="C78" s="25" t="s">
        <v>247</v>
      </c>
      <c r="D78" s="4" t="s">
        <v>143</v>
      </c>
      <c r="E78" s="31">
        <v>43432</v>
      </c>
      <c r="F78" s="47" t="s">
        <v>248</v>
      </c>
      <c r="G78" s="39" t="s">
        <v>267</v>
      </c>
      <c r="H78" s="13">
        <v>8344.66</v>
      </c>
      <c r="I78" s="1" t="s">
        <v>147</v>
      </c>
    </row>
    <row r="79" spans="1:9" ht="80.099999999999994" customHeight="1" x14ac:dyDescent="0.25">
      <c r="A79" s="9">
        <v>72</v>
      </c>
      <c r="B79" s="8" t="s">
        <v>265</v>
      </c>
      <c r="C79" s="25" t="s">
        <v>249</v>
      </c>
      <c r="D79" s="4" t="s">
        <v>250</v>
      </c>
      <c r="E79" s="31">
        <v>43440</v>
      </c>
      <c r="F79" s="47" t="s">
        <v>251</v>
      </c>
      <c r="G79" s="60" t="s">
        <v>252</v>
      </c>
      <c r="H79" s="13">
        <v>5290.56</v>
      </c>
      <c r="I79" s="1" t="s">
        <v>147</v>
      </c>
    </row>
    <row r="80" spans="1:9" ht="80.099999999999994" customHeight="1" x14ac:dyDescent="0.25">
      <c r="A80" s="9">
        <v>73</v>
      </c>
      <c r="B80" s="8" t="s">
        <v>215</v>
      </c>
      <c r="C80" s="25" t="s">
        <v>174</v>
      </c>
      <c r="D80" s="4" t="s">
        <v>253</v>
      </c>
      <c r="E80" s="12">
        <v>43480</v>
      </c>
      <c r="F80" s="12" t="s">
        <v>268</v>
      </c>
      <c r="G80" s="39">
        <v>20000</v>
      </c>
      <c r="H80" s="13">
        <f>10000+10000</f>
        <v>20000</v>
      </c>
      <c r="I80" s="36" t="s">
        <v>147</v>
      </c>
    </row>
    <row r="81" spans="1:9" ht="80.099999999999994" customHeight="1" x14ac:dyDescent="0.25">
      <c r="A81" s="9">
        <v>74</v>
      </c>
      <c r="B81" s="8" t="s">
        <v>215</v>
      </c>
      <c r="C81" s="25" t="s">
        <v>174</v>
      </c>
      <c r="D81" s="4" t="s">
        <v>266</v>
      </c>
      <c r="E81" s="12">
        <v>43505</v>
      </c>
      <c r="F81" s="12" t="s">
        <v>269</v>
      </c>
      <c r="G81" s="39">
        <v>20000</v>
      </c>
      <c r="H81" s="13">
        <f>5000+5000+5000+5000</f>
        <v>20000</v>
      </c>
      <c r="I81" s="36" t="s">
        <v>147</v>
      </c>
    </row>
    <row r="82" spans="1:9" ht="80.099999999999994" customHeight="1" x14ac:dyDescent="0.25">
      <c r="A82" s="9">
        <v>75</v>
      </c>
      <c r="B82" s="8" t="s">
        <v>10</v>
      </c>
      <c r="C82" s="14">
        <v>3049560166</v>
      </c>
      <c r="D82" s="5" t="s">
        <v>255</v>
      </c>
      <c r="E82" s="3">
        <v>43454</v>
      </c>
      <c r="F82" s="4" t="s">
        <v>254</v>
      </c>
      <c r="G82" s="5" t="s">
        <v>256</v>
      </c>
      <c r="H82" s="13">
        <f>8800+7400+1400+3000+1000</f>
        <v>21600</v>
      </c>
      <c r="I82" s="36" t="s">
        <v>146</v>
      </c>
    </row>
    <row r="83" spans="1:9" ht="80.099999999999994" customHeight="1" x14ac:dyDescent="0.25">
      <c r="A83" s="9">
        <v>76</v>
      </c>
      <c r="B83" s="8" t="s">
        <v>257</v>
      </c>
      <c r="C83" s="14" t="s">
        <v>258</v>
      </c>
      <c r="D83" s="5" t="s">
        <v>259</v>
      </c>
      <c r="E83" s="24">
        <v>43502</v>
      </c>
      <c r="F83" s="4" t="s">
        <v>260</v>
      </c>
      <c r="G83" s="67">
        <v>937.5</v>
      </c>
      <c r="H83" s="13">
        <v>750</v>
      </c>
      <c r="I83" s="1" t="s">
        <v>147</v>
      </c>
    </row>
    <row r="84" spans="1:9" ht="80.099999999999994" customHeight="1" x14ac:dyDescent="0.25">
      <c r="A84" s="9">
        <v>77</v>
      </c>
      <c r="B84" s="8" t="s">
        <v>261</v>
      </c>
      <c r="C84" s="14">
        <v>12735620150</v>
      </c>
      <c r="D84" s="5" t="s">
        <v>262</v>
      </c>
      <c r="E84" s="3">
        <v>43522</v>
      </c>
      <c r="F84" s="4" t="s">
        <v>263</v>
      </c>
      <c r="G84" s="5" t="s">
        <v>264</v>
      </c>
      <c r="H84" s="13">
        <v>2312.84</v>
      </c>
      <c r="I84" s="1" t="s">
        <v>146</v>
      </c>
    </row>
    <row r="85" spans="1:9" ht="80.099999999999994" customHeight="1" x14ac:dyDescent="0.25">
      <c r="A85" s="9">
        <v>78</v>
      </c>
      <c r="B85" s="8" t="s">
        <v>177</v>
      </c>
      <c r="C85" s="25">
        <v>7931520964</v>
      </c>
      <c r="D85" s="4" t="s">
        <v>178</v>
      </c>
      <c r="E85" s="12" t="s">
        <v>270</v>
      </c>
      <c r="F85" s="12" t="s">
        <v>271</v>
      </c>
      <c r="G85" s="40" t="s">
        <v>180</v>
      </c>
      <c r="H85" s="53">
        <f>2391.5+1906+2122+1909+2360+2633+1866+1850+1942.5+2051+1328.5+1270+1287.5+1322+1330+1297+1322+1320.5</f>
        <v>31508.5</v>
      </c>
      <c r="I85" s="1" t="s">
        <v>146</v>
      </c>
    </row>
    <row r="86" spans="1:9" ht="80.099999999999994" customHeight="1" x14ac:dyDescent="0.25">
      <c r="A86" s="9">
        <v>79</v>
      </c>
      <c r="B86" s="8" t="s">
        <v>272</v>
      </c>
      <c r="C86" s="14" t="s">
        <v>273</v>
      </c>
      <c r="D86" s="5" t="s">
        <v>274</v>
      </c>
      <c r="E86" s="24">
        <v>43571</v>
      </c>
      <c r="F86" s="4" t="s">
        <v>275</v>
      </c>
      <c r="G86" s="67" t="s">
        <v>276</v>
      </c>
      <c r="H86" s="13">
        <v>6000</v>
      </c>
      <c r="I86" s="36" t="s">
        <v>147</v>
      </c>
    </row>
    <row r="87" spans="1:9" ht="80.099999999999994" customHeight="1" x14ac:dyDescent="0.25">
      <c r="A87" s="9">
        <v>80</v>
      </c>
      <c r="B87" s="8" t="s">
        <v>277</v>
      </c>
      <c r="C87" s="14" t="s">
        <v>278</v>
      </c>
      <c r="D87" s="5" t="s">
        <v>274</v>
      </c>
      <c r="E87" s="3">
        <v>43571</v>
      </c>
      <c r="F87" s="4" t="s">
        <v>275</v>
      </c>
      <c r="G87" s="5" t="s">
        <v>276</v>
      </c>
      <c r="H87" s="13">
        <v>5116.72</v>
      </c>
      <c r="I87" s="36" t="s">
        <v>147</v>
      </c>
    </row>
    <row r="88" spans="1:9" ht="80.099999999999994" customHeight="1" x14ac:dyDescent="0.25">
      <c r="A88" s="9">
        <v>81</v>
      </c>
      <c r="B88" s="8" t="s">
        <v>283</v>
      </c>
      <c r="C88" s="25" t="s">
        <v>279</v>
      </c>
      <c r="D88" s="5" t="s">
        <v>280</v>
      </c>
      <c r="E88" s="3">
        <v>43600</v>
      </c>
      <c r="F88" s="4" t="s">
        <v>281</v>
      </c>
      <c r="G88" s="5" t="s">
        <v>282</v>
      </c>
      <c r="H88" s="13"/>
      <c r="I88" s="36" t="s">
        <v>146</v>
      </c>
    </row>
    <row r="89" spans="1:9" ht="80.25" customHeight="1" x14ac:dyDescent="0.25">
      <c r="A89" s="9">
        <v>82</v>
      </c>
      <c r="B89" s="8" t="s">
        <v>285</v>
      </c>
      <c r="C89" s="25" t="s">
        <v>288</v>
      </c>
      <c r="D89" s="5" t="s">
        <v>286</v>
      </c>
      <c r="E89" s="3">
        <v>43451</v>
      </c>
      <c r="F89" s="4"/>
      <c r="G89" s="5" t="s">
        <v>287</v>
      </c>
      <c r="H89" s="13"/>
      <c r="I89" s="36" t="s">
        <v>146</v>
      </c>
    </row>
    <row r="90" spans="1:9" ht="80.25" customHeight="1" x14ac:dyDescent="0.25">
      <c r="A90" s="9">
        <v>83</v>
      </c>
      <c r="B90" s="8" t="s">
        <v>303</v>
      </c>
      <c r="C90" s="25"/>
      <c r="D90" s="5" t="s">
        <v>290</v>
      </c>
      <c r="E90" s="3">
        <v>43643</v>
      </c>
      <c r="F90" s="4" t="s">
        <v>291</v>
      </c>
      <c r="G90" s="4" t="s">
        <v>301</v>
      </c>
      <c r="H90" s="13"/>
      <c r="I90" s="36" t="s">
        <v>292</v>
      </c>
    </row>
    <row r="91" spans="1:9" ht="80.25" customHeight="1" x14ac:dyDescent="0.25">
      <c r="A91" s="9">
        <v>84</v>
      </c>
      <c r="B91" s="8" t="s">
        <v>28</v>
      </c>
      <c r="C91" s="76">
        <v>7583180968</v>
      </c>
      <c r="D91" s="30" t="s">
        <v>293</v>
      </c>
      <c r="E91" s="32">
        <v>43713</v>
      </c>
      <c r="F91" s="47" t="s">
        <v>294</v>
      </c>
      <c r="G91" s="63" t="s">
        <v>295</v>
      </c>
      <c r="H91" s="59"/>
      <c r="I91" s="36" t="s">
        <v>146</v>
      </c>
    </row>
    <row r="92" spans="1:9" ht="120" customHeight="1" x14ac:dyDescent="0.25">
      <c r="A92" s="9">
        <v>85</v>
      </c>
      <c r="B92" s="8" t="s">
        <v>296</v>
      </c>
      <c r="C92" s="77" t="s">
        <v>297</v>
      </c>
      <c r="D92" s="30" t="s">
        <v>298</v>
      </c>
      <c r="E92" s="32">
        <v>43720</v>
      </c>
      <c r="F92" s="47" t="s">
        <v>299</v>
      </c>
      <c r="G92" s="63" t="s">
        <v>300</v>
      </c>
      <c r="H92" s="59">
        <v>13230</v>
      </c>
      <c r="I92" s="36" t="s">
        <v>146</v>
      </c>
    </row>
    <row r="93" spans="1:9" ht="90" customHeight="1" x14ac:dyDescent="0.25">
      <c r="A93" s="9">
        <v>86</v>
      </c>
      <c r="B93" s="8" t="s">
        <v>304</v>
      </c>
      <c r="C93" s="77" t="s">
        <v>305</v>
      </c>
      <c r="D93" s="5" t="s">
        <v>306</v>
      </c>
      <c r="E93" s="32">
        <v>43748</v>
      </c>
      <c r="F93" s="47" t="s">
        <v>307</v>
      </c>
      <c r="G93" s="63" t="s">
        <v>308</v>
      </c>
      <c r="H93" s="59"/>
      <c r="I93" s="36" t="s">
        <v>146</v>
      </c>
    </row>
    <row r="94" spans="1:9" ht="315" x14ac:dyDescent="0.25">
      <c r="A94" s="9">
        <v>87</v>
      </c>
      <c r="B94" s="8" t="s">
        <v>9</v>
      </c>
      <c r="C94" s="15" t="s">
        <v>309</v>
      </c>
      <c r="D94" s="4" t="s">
        <v>310</v>
      </c>
      <c r="E94" s="34">
        <v>43748</v>
      </c>
      <c r="F94" s="47" t="s">
        <v>311</v>
      </c>
      <c r="G94" s="78" t="s">
        <v>312</v>
      </c>
      <c r="H94" s="59"/>
      <c r="I94" s="36" t="s">
        <v>146</v>
      </c>
    </row>
    <row r="95" spans="1:9" ht="80.25" customHeight="1" x14ac:dyDescent="0.25">
      <c r="A95" s="9">
        <v>88</v>
      </c>
      <c r="B95" s="8" t="s">
        <v>28</v>
      </c>
      <c r="C95" s="76">
        <v>7583180968</v>
      </c>
      <c r="D95" s="4" t="s">
        <v>313</v>
      </c>
      <c r="E95" s="34">
        <v>43760</v>
      </c>
      <c r="F95" s="47"/>
      <c r="G95" s="78" t="s">
        <v>314</v>
      </c>
      <c r="H95" s="59">
        <f>6904.6+13520.32</f>
        <v>20424.919999999998</v>
      </c>
      <c r="I95" s="1" t="s">
        <v>147</v>
      </c>
    </row>
    <row r="96" spans="1:9" ht="80.25" customHeight="1" x14ac:dyDescent="0.25">
      <c r="A96" s="9">
        <v>89</v>
      </c>
      <c r="B96" s="8" t="s">
        <v>318</v>
      </c>
      <c r="C96" s="76" t="s">
        <v>319</v>
      </c>
      <c r="D96" s="4" t="s">
        <v>320</v>
      </c>
      <c r="E96" s="34">
        <v>43775</v>
      </c>
      <c r="F96" s="47" t="s">
        <v>307</v>
      </c>
      <c r="G96" s="78" t="s">
        <v>321</v>
      </c>
      <c r="H96" s="59">
        <v>761</v>
      </c>
      <c r="I96" s="1" t="s">
        <v>146</v>
      </c>
    </row>
    <row r="97" spans="1:9" ht="80.25" customHeight="1" x14ac:dyDescent="0.25">
      <c r="A97" s="9">
        <v>90</v>
      </c>
      <c r="B97" s="8" t="s">
        <v>28</v>
      </c>
      <c r="C97" s="76">
        <v>7583180968</v>
      </c>
      <c r="D97" s="4" t="s">
        <v>322</v>
      </c>
      <c r="E97" s="34">
        <v>43781</v>
      </c>
      <c r="F97" s="47"/>
      <c r="G97" s="78" t="s">
        <v>323</v>
      </c>
      <c r="H97" s="59"/>
      <c r="I97" s="36" t="s">
        <v>146</v>
      </c>
    </row>
    <row r="98" spans="1:9" ht="80.25" customHeight="1" x14ac:dyDescent="0.25">
      <c r="A98" s="9">
        <v>91</v>
      </c>
      <c r="B98" s="8" t="s">
        <v>10</v>
      </c>
      <c r="C98" s="79">
        <v>3049560166</v>
      </c>
      <c r="D98" s="80" t="s">
        <v>348</v>
      </c>
      <c r="E98" s="34">
        <v>43787</v>
      </c>
      <c r="F98" s="81" t="s">
        <v>324</v>
      </c>
      <c r="G98" s="82">
        <v>12000</v>
      </c>
      <c r="H98" s="59">
        <v>12000</v>
      </c>
      <c r="I98" s="36" t="s">
        <v>147</v>
      </c>
    </row>
    <row r="99" spans="1:9" ht="80.25" customHeight="1" x14ac:dyDescent="0.25">
      <c r="A99" s="9">
        <v>92</v>
      </c>
      <c r="B99" s="8" t="s">
        <v>34</v>
      </c>
      <c r="C99" s="14">
        <v>830660155</v>
      </c>
      <c r="D99" s="4" t="s">
        <v>45</v>
      </c>
      <c r="E99" s="3">
        <v>43802</v>
      </c>
      <c r="F99" s="3" t="s">
        <v>326</v>
      </c>
      <c r="G99" s="4" t="s">
        <v>37</v>
      </c>
      <c r="H99" s="13"/>
      <c r="I99" s="36" t="s">
        <v>146</v>
      </c>
    </row>
    <row r="100" spans="1:9" ht="80.25" customHeight="1" x14ac:dyDescent="0.25">
      <c r="A100" s="9">
        <v>93</v>
      </c>
      <c r="B100" s="7" t="s">
        <v>108</v>
      </c>
      <c r="C100" s="14">
        <v>2309220602</v>
      </c>
      <c r="D100" s="4" t="s">
        <v>327</v>
      </c>
      <c r="E100" s="24">
        <v>43811</v>
      </c>
      <c r="F100" s="47" t="s">
        <v>307</v>
      </c>
      <c r="G100" s="74" t="s">
        <v>328</v>
      </c>
      <c r="H100" s="13"/>
      <c r="I100" s="36" t="s">
        <v>146</v>
      </c>
    </row>
    <row r="101" spans="1:9" ht="80.25" customHeight="1" x14ac:dyDescent="0.25">
      <c r="A101" s="9">
        <v>94</v>
      </c>
      <c r="B101" s="8" t="s">
        <v>126</v>
      </c>
      <c r="C101" s="15">
        <v>3380410104</v>
      </c>
      <c r="D101" s="4" t="s">
        <v>329</v>
      </c>
      <c r="E101" s="3">
        <v>43819</v>
      </c>
      <c r="F101" s="47" t="s">
        <v>330</v>
      </c>
      <c r="G101" s="46" t="s">
        <v>331</v>
      </c>
      <c r="H101" s="13"/>
      <c r="I101" s="36" t="s">
        <v>146</v>
      </c>
    </row>
    <row r="102" spans="1:9" ht="80.25" customHeight="1" x14ac:dyDescent="0.25">
      <c r="A102" s="9">
        <v>95</v>
      </c>
      <c r="B102" s="8" t="s">
        <v>333</v>
      </c>
      <c r="C102" s="15">
        <v>10147540966</v>
      </c>
      <c r="D102" s="4" t="s">
        <v>334</v>
      </c>
      <c r="E102" s="3">
        <v>43819</v>
      </c>
      <c r="F102" s="47" t="s">
        <v>335</v>
      </c>
      <c r="G102" s="46">
        <v>46000</v>
      </c>
      <c r="H102" s="13"/>
      <c r="I102" s="36" t="s">
        <v>146</v>
      </c>
    </row>
    <row r="103" spans="1:9" ht="80.25" customHeight="1" x14ac:dyDescent="0.25">
      <c r="A103" s="9">
        <v>96</v>
      </c>
      <c r="B103" s="8" t="s">
        <v>336</v>
      </c>
      <c r="C103" s="15" t="s">
        <v>337</v>
      </c>
      <c r="D103" s="4" t="s">
        <v>338</v>
      </c>
      <c r="E103" s="3">
        <v>43819</v>
      </c>
      <c r="F103" s="47" t="s">
        <v>339</v>
      </c>
      <c r="G103" s="46">
        <v>155011.12</v>
      </c>
      <c r="H103" s="13"/>
      <c r="I103" s="36" t="s">
        <v>146</v>
      </c>
    </row>
    <row r="104" spans="1:9" ht="80.25" customHeight="1" x14ac:dyDescent="0.25">
      <c r="A104" s="9">
        <v>97</v>
      </c>
      <c r="B104" s="8" t="s">
        <v>340</v>
      </c>
      <c r="C104" s="15">
        <v>11229180150</v>
      </c>
      <c r="D104" s="4" t="s">
        <v>341</v>
      </c>
      <c r="E104" s="3">
        <v>43822</v>
      </c>
      <c r="F104" s="47" t="s">
        <v>342</v>
      </c>
      <c r="G104" s="46" t="s">
        <v>343</v>
      </c>
      <c r="H104" s="13"/>
      <c r="I104" s="36" t="s">
        <v>146</v>
      </c>
    </row>
    <row r="105" spans="1:9" ht="80.25" customHeight="1" x14ac:dyDescent="0.25">
      <c r="A105" s="9">
        <v>98</v>
      </c>
      <c r="B105" s="8" t="s">
        <v>10</v>
      </c>
      <c r="C105" s="79">
        <v>3049560166</v>
      </c>
      <c r="D105" s="80" t="s">
        <v>347</v>
      </c>
      <c r="E105" s="34">
        <v>43858</v>
      </c>
      <c r="F105" s="81" t="s">
        <v>349</v>
      </c>
      <c r="G105" s="82">
        <v>3000</v>
      </c>
      <c r="H105" s="59"/>
      <c r="I105" s="36" t="s">
        <v>146</v>
      </c>
    </row>
    <row r="106" spans="1:9" ht="80.25" customHeight="1" x14ac:dyDescent="0.25">
      <c r="A106" s="9">
        <v>99</v>
      </c>
      <c r="B106" s="8" t="s">
        <v>352</v>
      </c>
      <c r="C106" s="15" t="s">
        <v>353</v>
      </c>
      <c r="D106" s="80" t="s">
        <v>354</v>
      </c>
      <c r="E106" s="34">
        <v>43872</v>
      </c>
      <c r="F106" s="36" t="s">
        <v>355</v>
      </c>
      <c r="G106" s="82" t="s">
        <v>356</v>
      </c>
      <c r="H106" s="59"/>
      <c r="I106" s="36" t="s">
        <v>146</v>
      </c>
    </row>
    <row r="107" spans="1:9" ht="80.25" customHeight="1" x14ac:dyDescent="0.25">
      <c r="A107" s="9">
        <v>100</v>
      </c>
      <c r="B107" s="8" t="s">
        <v>215</v>
      </c>
      <c r="C107" s="25" t="s">
        <v>174</v>
      </c>
      <c r="D107" s="4" t="s">
        <v>266</v>
      </c>
      <c r="E107" s="12">
        <v>43880</v>
      </c>
      <c r="F107" s="12" t="s">
        <v>360</v>
      </c>
      <c r="G107" s="39">
        <v>38000</v>
      </c>
      <c r="H107" s="13"/>
      <c r="I107" s="36" t="s">
        <v>146</v>
      </c>
    </row>
    <row r="108" spans="1:9" ht="80.25" customHeight="1" x14ac:dyDescent="0.25">
      <c r="A108" s="9">
        <v>101</v>
      </c>
      <c r="B108" s="8" t="s">
        <v>352</v>
      </c>
      <c r="C108" s="15" t="s">
        <v>353</v>
      </c>
      <c r="D108" s="4" t="s">
        <v>361</v>
      </c>
      <c r="E108" s="12">
        <v>43899</v>
      </c>
      <c r="F108" s="12" t="s">
        <v>362</v>
      </c>
      <c r="G108" s="84" t="s">
        <v>363</v>
      </c>
      <c r="H108" s="13"/>
      <c r="I108" s="36" t="s">
        <v>146</v>
      </c>
    </row>
    <row r="109" spans="1:9" ht="80.25" customHeight="1" x14ac:dyDescent="0.25">
      <c r="A109" s="9">
        <v>102</v>
      </c>
      <c r="B109" s="8" t="s">
        <v>164</v>
      </c>
      <c r="C109" s="15" t="s">
        <v>165</v>
      </c>
      <c r="D109" s="4" t="s">
        <v>364</v>
      </c>
      <c r="E109" s="83">
        <v>43909</v>
      </c>
      <c r="F109" s="1" t="s">
        <v>365</v>
      </c>
      <c r="G109" s="4" t="s">
        <v>366</v>
      </c>
      <c r="H109" s="13"/>
      <c r="I109" s="36" t="s">
        <v>146</v>
      </c>
    </row>
  </sheetData>
  <autoFilter ref="B7:I109" xr:uid="{3AC4AC86-AE28-44AE-806C-B5AC83D566B6}"/>
  <pageMargins left="0.25" right="0.2" top="0.24" bottom="0.2" header="0.18" footer="0.13"/>
  <pageSetup paperSize="9" scale="67" fitToHeight="0" orientation="landscape" r:id="rId1"/>
  <ignoredErrors>
    <ignoredError sqref="G17:G18 G22 C88 C33:C34 G33 C36 G37 C38 C40 C41:C42 C46 C48 C50 C52:C53 C56:C58 C59:C60 C63 C68 C69:C70 C72:C73 C78:C81 C92:C94 C96 G75 G77 C103 C106:C107 C108:C10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0899-02F7-46BD-9683-94657A05B4A3}">
  <dimension ref="B1:J9"/>
  <sheetViews>
    <sheetView showGridLines="0" zoomScale="90" zoomScaleNormal="90" workbookViewId="0">
      <pane ySplit="5" topLeftCell="A6" activePane="bottomLeft" state="frozen"/>
      <selection pane="bottomLeft" activeCell="I7" sqref="I7"/>
    </sheetView>
  </sheetViews>
  <sheetFormatPr defaultColWidth="20.7109375" defaultRowHeight="80.25" customHeight="1" x14ac:dyDescent="0.25"/>
  <cols>
    <col min="1" max="1" width="2.140625" customWidth="1"/>
    <col min="2" max="3" width="25.7109375" customWidth="1"/>
    <col min="4" max="4" width="55.85546875" style="10" customWidth="1"/>
    <col min="5" max="5" width="25.7109375" style="9" customWidth="1"/>
    <col min="6" max="6" width="30.7109375" style="9" customWidth="1"/>
    <col min="7" max="7" width="40.7109375" style="26" customWidth="1"/>
    <col min="8" max="8" width="30.7109375" style="20" customWidth="1"/>
    <col min="9" max="9" width="30.7109375" customWidth="1"/>
  </cols>
  <sheetData>
    <row r="1" spans="2:10" ht="15" x14ac:dyDescent="0.25"/>
    <row r="2" spans="2:10" ht="15" x14ac:dyDescent="0.25"/>
    <row r="3" spans="2:10" ht="15" x14ac:dyDescent="0.25">
      <c r="C3" s="16"/>
      <c r="D3" s="16" t="s">
        <v>346</v>
      </c>
    </row>
    <row r="4" spans="2:10" ht="15" x14ac:dyDescent="0.25"/>
    <row r="5" spans="2:10" ht="80.25" customHeight="1" x14ac:dyDescent="0.25">
      <c r="B5" s="6" t="s">
        <v>0</v>
      </c>
      <c r="C5" s="6" t="s">
        <v>81</v>
      </c>
      <c r="D5" s="6" t="s">
        <v>1</v>
      </c>
      <c r="E5" s="6" t="s">
        <v>2</v>
      </c>
      <c r="F5" s="6" t="s">
        <v>25</v>
      </c>
      <c r="G5" s="27" t="s">
        <v>84</v>
      </c>
      <c r="H5" s="21" t="s">
        <v>359</v>
      </c>
      <c r="I5" s="21" t="s">
        <v>369</v>
      </c>
      <c r="J5" s="35" t="s">
        <v>149</v>
      </c>
    </row>
    <row r="6" spans="2:10" ht="80.25" customHeight="1" x14ac:dyDescent="0.25">
      <c r="B6" s="8" t="s">
        <v>156</v>
      </c>
      <c r="C6" s="15" t="s">
        <v>157</v>
      </c>
      <c r="D6" s="4" t="s">
        <v>158</v>
      </c>
      <c r="E6" s="34">
        <v>43067</v>
      </c>
      <c r="F6" s="3" t="s">
        <v>159</v>
      </c>
      <c r="G6" s="37" t="s">
        <v>160</v>
      </c>
      <c r="H6" s="54">
        <f>190487.7+133987.1+95243.85</f>
        <v>419718.65</v>
      </c>
      <c r="I6" s="54">
        <f>238916.67+142058.74+190487.7+190487.7+190487.7+190487.7+190487.7+133987.1+95243.85</f>
        <v>1562644.86</v>
      </c>
      <c r="J6" s="36" t="s">
        <v>146</v>
      </c>
    </row>
    <row r="7" spans="2:10" ht="80.25" customHeight="1" x14ac:dyDescent="0.25">
      <c r="I7" s="73"/>
    </row>
    <row r="8" spans="2:10" ht="80.25" customHeight="1" x14ac:dyDescent="0.25">
      <c r="I8" s="73"/>
    </row>
    <row r="9" spans="2:10" ht="80.25" customHeight="1" x14ac:dyDescent="0.25">
      <c r="I9" s="73"/>
    </row>
  </sheetData>
  <autoFilter ref="B5:J6" xr:uid="{0AAD3E39-A2E9-4ADE-835C-EDB621644103}"/>
  <pageMargins left="0.7" right="0.7" top="0.75" bottom="0.75" header="0.3" footer="0.3"/>
  <pageSetup paperSize="9" orientation="portrait" r:id="rId1"/>
  <ignoredErrors>
    <ignoredError sqref="C6"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Riepilogo Contratti Passivi</vt:lpstr>
      <vt:lpstr>Riepilogo Contratti Attivi</vt:lpstr>
      <vt:lpstr>'Riepilogo Contratti Passivi'!Area_stampa</vt:lpstr>
      <vt:lpstr>'Riepilogo Contratti Passivi'!Titoli_stampa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alfonso.demaio@metro4milano.it</dc:creator>
  <cp:lastModifiedBy>antonino.campo@metro4milano.it</cp:lastModifiedBy>
  <cp:lastPrinted>2020-04-03T15:09:59Z</cp:lastPrinted>
  <dcterms:created xsi:type="dcterms:W3CDTF">2016-10-17T11:15:36Z</dcterms:created>
  <dcterms:modified xsi:type="dcterms:W3CDTF">2020-04-03T15:13:32Z</dcterms:modified>
</cp:coreProperties>
</file>