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Z:\f.rapisarda\RPCT\Trasparenza\Documenti da pubblicare - Vari\"/>
    </mc:Choice>
  </mc:AlternateContent>
  <xr:revisionPtr revIDLastSave="0" documentId="13_ncr:1_{1D2C0FB6-C600-4D0B-97C6-D3B690A73FEC}" xr6:coauthVersionLast="43" xr6:coauthVersionMax="43" xr10:uidLastSave="{00000000-0000-0000-0000-000000000000}"/>
  <bookViews>
    <workbookView xWindow="28680" yWindow="-120" windowWidth="29040" windowHeight="15840" xr2:uid="{00000000-000D-0000-FFFF-FFFF00000000}"/>
  </bookViews>
  <sheets>
    <sheet name="Riepilogo Contratti Passivi" sheetId="1" r:id="rId1"/>
    <sheet name="Riepilogo Contratti Attivi" sheetId="2" r:id="rId2"/>
  </sheets>
  <definedNames>
    <definedName name="_xlnm._FilterDatabase" localSheetId="1" hidden="1">'Riepilogo Contratti Attivi'!$B$5:$J$6</definedName>
    <definedName name="_xlnm._FilterDatabase" localSheetId="0" hidden="1">'Riepilogo Contratti Passivi'!$B$5:$J$83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8" i="1" l="1"/>
  <c r="H48" i="1"/>
  <c r="I71" i="1" l="1"/>
  <c r="H71" i="1"/>
  <c r="I18" i="1"/>
  <c r="I56" i="1" l="1"/>
  <c r="I46" i="1"/>
  <c r="I50" i="1"/>
  <c r="H50" i="1"/>
  <c r="I72" i="1" l="1"/>
  <c r="H72" i="1"/>
  <c r="I67" i="1"/>
  <c r="H67" i="1"/>
  <c r="I58" i="1" l="1"/>
  <c r="I57" i="1" l="1"/>
  <c r="I24" i="1"/>
  <c r="H24" i="1"/>
  <c r="I31" i="1"/>
  <c r="I70" i="1"/>
  <c r="I45" i="1"/>
  <c r="I49" i="1"/>
  <c r="I65" i="1"/>
  <c r="I44" i="1"/>
  <c r="I42" i="1"/>
  <c r="H42" i="1"/>
  <c r="I21" i="1" l="1"/>
  <c r="I66" i="1" l="1"/>
  <c r="I39" i="1" l="1"/>
  <c r="I47" i="1"/>
  <c r="I36" i="1"/>
  <c r="I7" i="1"/>
  <c r="I34" i="1"/>
  <c r="I54" i="1"/>
  <c r="I26" i="1" l="1"/>
  <c r="I17" i="1"/>
  <c r="I10" i="1" l="1"/>
  <c r="I68" i="1" l="1"/>
  <c r="G68" i="1"/>
  <c r="I55" i="1"/>
  <c r="I63" i="1" l="1"/>
  <c r="I33" i="1"/>
  <c r="I40" i="1" l="1"/>
  <c r="I62" i="1" l="1"/>
  <c r="I38" i="1" l="1"/>
  <c r="I27" i="1" l="1"/>
  <c r="I53" i="1" l="1"/>
  <c r="I43" i="1" l="1"/>
  <c r="I35" i="1"/>
  <c r="I28" i="1" l="1"/>
  <c r="I37" i="1" l="1"/>
  <c r="I22" i="1"/>
  <c r="G38" i="1" l="1"/>
  <c r="I23" i="1" l="1"/>
  <c r="I8" i="1" l="1"/>
</calcChain>
</file>

<file path=xl/sharedStrings.xml><?xml version="1.0" encoding="utf-8"?>
<sst xmlns="http://schemas.openxmlformats.org/spreadsheetml/2006/main" count="431" uniqueCount="295">
  <si>
    <t>FORNITORE</t>
  </si>
  <si>
    <t>NATURA INCARICO</t>
  </si>
  <si>
    <t>DATA SOTTOSCRIZIONE</t>
  </si>
  <si>
    <t>14/04/2016-13/04/2018</t>
  </si>
  <si>
    <t>- Giudizio sul bilancio 
- regolare tenuta della contabilità
- revisione contabile del reporting package annuale e revisione contabile limitata del reporting package semestrale
- verifica modelli 770 semplificato e ordinario
- verifica modelli dichiarazione dei redditi Unico e IRAP</t>
  </si>
  <si>
    <t>Servizi di conservazione ditigale di documenti rilevanti ai fini tributari</t>
  </si>
  <si>
    <t>Triennio 2015-2017</t>
  </si>
  <si>
    <t>il contratto avrà termine all'ultimazione delle attività di rimozione completa delle interferenze degli operatori TLC</t>
  </si>
  <si>
    <t>Accordo quadro SIRTI - M4  attività connesse alla risoluzione delle interferenze; ordini attuativi assegnati a SIRTI dalla Concessionaria a seguito della formalizzazione di apposita ordinanza</t>
  </si>
  <si>
    <t>SIRTI SpA/M4</t>
  </si>
  <si>
    <t>DELOITTE &amp; TOUCHE SpA/M4</t>
  </si>
  <si>
    <t>SIRTI SpA/M4/FASTWEB</t>
  </si>
  <si>
    <t>SIRTI SpA/M4/TIM</t>
  </si>
  <si>
    <t>SIRTI SpA/M4/VERIZON</t>
  </si>
  <si>
    <t>SIRTI SpA/M4/METROWEB</t>
  </si>
  <si>
    <t>si veda contratto principale SIRTI SpA/M4</t>
  </si>
  <si>
    <t>L'accordo regola i rapporti tra Fastweb, M4 e SIRTI per la corretta esecuzione dell'intervento di risoluzione delle interferenze di cui al provvedimento del Comune di Milano, ordinanza 5/2016 del 30/06/2016 nonché ulteriori interventi di risoluzione interferenze richiesti dal Comune con ulteriori ordinanze</t>
  </si>
  <si>
    <t>L'accordo regola i rapporti tra TIM, M4 e SIRTI per la corretta esecuzione dell'intervento di risoluzione delle interferenze di cui al provvedimento del Comune di Milano PROT. pg 149700/2016 del 18/3/2016 nonché ulteriori interventi di risoluzione interferenze richiesti dal Comune con ulteriori ordinanze</t>
  </si>
  <si>
    <t>L'accordo regola i rapporti tra VERIZON, M4 e SIRTI per la corretta esecuzione dell'intervento di risoluzione delle interferenze di cui al provvedimento del Comune di Milano ordinanza n. 3/2016 del 30/6/2016  nonché ulteriori interventi di risoluzione interferenze richiesti dal Comune con ulteriori ordinanze</t>
  </si>
  <si>
    <t>L'accordo regola i rapporti tra METROWEB, M4 e SIRTI per la corretta esecuzione dell'intervento di risoluzione delle interferenze di cui al provvedimento del Comune di Milano ordinanza n. 7/2016 del 30/6/2016  nonché ulteriori interventi di risoluzione interferenze richiesti dal Comune con ulteriori ordinanze</t>
  </si>
  <si>
    <t>GEOCONSULT SERVICE Srl</t>
  </si>
  <si>
    <t>Servizio di espletamento delle procedure espropriative e occupazione temporanea</t>
  </si>
  <si>
    <t>Affidamento temporaneo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</si>
  <si>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Consulenza assicurativa successiva alla fase di financial close</t>
  </si>
  <si>
    <t>MARSH SpA</t>
  </si>
  <si>
    <t>Consulenza tecnica e ambientale per i finanziatori - monitoraggio bimestrale durante la fase di costruzione</t>
  </si>
  <si>
    <t>DURATA / SCADENZA</t>
  </si>
  <si>
    <t>ARUP ITALIA Srl</t>
  </si>
  <si>
    <t>Servizi di assistenza legale per M4 SPA</t>
  </si>
  <si>
    <t>GIUSPUBBLICISTI ASSOCIATI SPA</t>
  </si>
  <si>
    <t>Servizio di licenza d'uso piattaforma informatica Legolas</t>
  </si>
  <si>
    <t>Affidamento delle attività di consulente legale in relazione al contratto di finanziamento project per la progettazione, costruzione e gestione della Linea Metropolitana di Milano S. Cristoforo - Linate</t>
  </si>
  <si>
    <t>Servizi di consulenza legale in relazione all'esecuzione del contratto di finanziamento relativo alla progettazione, alla costruzione e all'esercizio  della M4_ prestazioni svolte dallo studio successivamente alla prima erogazione (31/07/2015) ai sensi del Contratto di Finanziamento in qualità di consulente legale dei Finanziatori</t>
  </si>
  <si>
    <t>Il Contratto viene rinnovato di anno in anno salvo disdetta entro la data del 15 ottobre.</t>
  </si>
  <si>
    <t>Rate orario 9,35759 e importo ticket 11,000</t>
  </si>
  <si>
    <t>SALINI-IMPREGILO SpA</t>
  </si>
  <si>
    <t>ADECCO ITALIA SpA</t>
  </si>
  <si>
    <t>LEGANCE AVVOCATI ASSOCIATI</t>
  </si>
  <si>
    <t>3.800 € per utenze fino a 4 postazioni
2.800 € per utenze oltre a 5 postazioni</t>
  </si>
  <si>
    <t>CHIOMENTI STUDIO LEGALE</t>
  </si>
  <si>
    <t>Disciplinare di incarico per lo svolgimento delle attività del Broker di assicurazione a favore di SPV LINEA M4 fuori dall'ambito delle polizze contrattuali</t>
  </si>
  <si>
    <t>nessun compenso previsto</t>
  </si>
  <si>
    <t>AON SpA</t>
  </si>
  <si>
    <t>STUDIO LEGALE DI NAPOLI</t>
  </si>
  <si>
    <t>Legale che segue la Causa Immobiliare Ronchetto</t>
  </si>
  <si>
    <t>Rate orario 11,8421 e importo ticket 11,000</t>
  </si>
  <si>
    <t>Contratto lavoro a tempo determinato (Arena) - proroga</t>
  </si>
  <si>
    <t>Service SAP - rinnovo</t>
  </si>
  <si>
    <t>CONSUL SYSTEM</t>
  </si>
  <si>
    <t>Accordo quadro di collaborazione e di cessione dei diritti relativi a Certificati bianchi (TEE)</t>
  </si>
  <si>
    <t>fino adempimento Accordi Individuali</t>
  </si>
  <si>
    <t>prezzo medio ponderato TEE rilasciato dal GSE scontato del 15%</t>
  </si>
  <si>
    <t>Incarico apposizione visto di conformità Dichiarazione IVA 2017</t>
  </si>
  <si>
    <t>All'apposizione della sottoscrizione della Dichiarazione IVA 2017</t>
  </si>
  <si>
    <t>Prestazioni integrative sui bilanci chiusi al 31/12/2016 e 31/12/2017 (impatto nuovi Principi Contabili a seguito D.Lgs 139/2015)</t>
  </si>
  <si>
    <t>Biennio 2016-2017</t>
  </si>
  <si>
    <t>Leasing ed assistenza tecnica full service su macchine fotocopiatrici</t>
  </si>
  <si>
    <t>BNP PARIBAS LEASING SOLUTIONS /DUPLEX</t>
  </si>
  <si>
    <t>SGS SERTEC</t>
  </si>
  <si>
    <t>Responsabile Lavori</t>
  </si>
  <si>
    <t>Servizio di pulizie uffici M4</t>
  </si>
  <si>
    <t>DESIREE soc. coop.</t>
  </si>
  <si>
    <t xml:space="preserve">SIRTI/M4 </t>
  </si>
  <si>
    <t>Realizzazione opere Civili di interconnessione reti - Prima fase</t>
  </si>
  <si>
    <t>a completamento delle attività</t>
  </si>
  <si>
    <t>54.467,25€</t>
  </si>
  <si>
    <t>Realizzazione cameretta via Foppa Washington</t>
  </si>
  <si>
    <t>18.000€</t>
  </si>
  <si>
    <t xml:space="preserve">SGI di GIURIOLO ENRICO &amp; C. SAS </t>
  </si>
  <si>
    <t>5.000€</t>
  </si>
  <si>
    <t>termine del giudizio causa Immobiliare Ronchetto</t>
  </si>
  <si>
    <t>€ 19.740 più variabile a consumo in base al numero di copie fatte</t>
  </si>
  <si>
    <t>163.981,4 €</t>
  </si>
  <si>
    <t xml:space="preserve">36.800€ </t>
  </si>
  <si>
    <t>COMUNE DI MILANO</t>
  </si>
  <si>
    <t>12 ANNI</t>
  </si>
  <si>
    <t>Affitto uffici P.zza Castello</t>
  </si>
  <si>
    <t>183.825€ + rivalutazione annuale ISTAT</t>
  </si>
  <si>
    <t>STUDIO GIOVANARDI E ASSOCIATI</t>
  </si>
  <si>
    <t>Consulenza legale causa M4/Metroweb SpA</t>
  </si>
  <si>
    <t>8.000€ prima fase
15.000€ assistenza giudiziale</t>
  </si>
  <si>
    <t>termine attività di difesa per conto della Società M4</t>
  </si>
  <si>
    <t>INTEGRA DOCUMENT MANAGEMENT S.R.L./M4</t>
  </si>
  <si>
    <t>METROPOLITANA MILANESE SpA</t>
  </si>
  <si>
    <t>P.IVA/C.F.</t>
  </si>
  <si>
    <t>01594820449</t>
  </si>
  <si>
    <t>01146510498</t>
  </si>
  <si>
    <t>IMPORTO CONTRATTUALE/ORDINE</t>
  </si>
  <si>
    <t>AVV.TO FRANCO SCARPELLI</t>
  </si>
  <si>
    <t>INNOVA MCA SRL</t>
  </si>
  <si>
    <t>CAR CENTRAL PARKING SRL</t>
  </si>
  <si>
    <t>09502580153</t>
  </si>
  <si>
    <t>08236990969</t>
  </si>
  <si>
    <t>08396260963</t>
  </si>
  <si>
    <t>Rilascio di un parere legale in tema di disciplina delle assunzioni da parte delle società partecipate da Amministrazioni pubbliche in relazione alle novità introdotte dal D.lgs 175/2016</t>
  </si>
  <si>
    <t>Servizio di assistenza in ambito salute, sicurezza e antincendio degli uffici di M4 SPA e di formazione per il personale dipendente</t>
  </si>
  <si>
    <t xml:space="preserve">Contratto di affitto di n. 25 spazi di sosta all'interno dell'autosilo a disposizione del personale dell'Università degli Studi di Milano </t>
  </si>
  <si>
    <t>non oltre 90 gg dalla sottoscrizione dell'incarico</t>
  </si>
  <si>
    <t>annuale</t>
  </si>
  <si>
    <t>1.500€+250€ per gestione sicurezza e apprestamenti antincendio
4 ore * 4 sessioni *300 euro * organico in forza per corso di formazion LBG generale
4 ore * 4 sessioni *300 euro * organico in forza per corso di formazion Lbsb specifico</t>
  </si>
  <si>
    <t>36 mesi dalla sosttoscrizione (dal 26/04/2017 al 26/04/2020)</t>
  </si>
  <si>
    <t xml:space="preserve">140€ + iva mensili per posto auto </t>
  </si>
  <si>
    <t>GEOTECHNICAL DESIGN GROUP SRL</t>
  </si>
  <si>
    <t xml:space="preserve">stimati 36 mesi, periodo equivalente a tutta la durata del cantiere per la relizzazione della futura stazione Sforza Policlinico </t>
  </si>
  <si>
    <t>ITALIANA AUDION SRL</t>
  </si>
  <si>
    <t xml:space="preserve">Noleggio affrancatrice postale </t>
  </si>
  <si>
    <t>annuale con tacito rinnovo salvo disdetta da inviare tramite raccomandata A/R entro 30gg dalla scadenza del contratto</t>
  </si>
  <si>
    <t>01742310152</t>
  </si>
  <si>
    <t>Affidamento delle attività di Direzione Lavori relative alla fase di progettazione esecutiva, costruttiva e realizzativa della Linea Metropolitana M4</t>
  </si>
  <si>
    <t>dal 01/07/2017 al 30/04/2022</t>
  </si>
  <si>
    <t>11.365.135,21 oltre 4% CNPAIA e Iva</t>
  </si>
  <si>
    <t>EXPROPRIANDA Srl</t>
  </si>
  <si>
    <t>INTERFIELD</t>
  </si>
  <si>
    <t>02833870153</t>
  </si>
  <si>
    <t>Servizio di consulente del lavoro ed amministrazione del personale</t>
  </si>
  <si>
    <t>tra anni dalla sottoscrizione</t>
  </si>
  <si>
    <t>37.500 escluso Iva</t>
  </si>
  <si>
    <t xml:space="preserve">DANOVI &amp; GIORGIANNI ASSOCIATI E COMMERCIALISTI </t>
  </si>
  <si>
    <t>Advisor fiscale</t>
  </si>
  <si>
    <t>Il compenso per le prestazioni svolte nel periodo 15/6/2016-28/02/2017 e quelli che saranno dovuti per il servizio reso dal 01/03/17-30/04/17 non potranno superare i 40.000€ iva esclusa</t>
  </si>
  <si>
    <r>
      <rPr>
        <sz val="11"/>
        <color theme="1"/>
        <rFont val="Calibri"/>
        <family val="2"/>
      </rPr>
      <t>40.000 €</t>
    </r>
  </si>
  <si>
    <r>
      <rPr>
        <sz val="11"/>
        <color theme="1"/>
        <rFont val="Calibri"/>
        <family val="2"/>
      </rPr>
      <t>17.500 € per ogni rapporto bimestrale</t>
    </r>
    <r>
      <rPr>
        <sz val="11"/>
        <color theme="1"/>
        <rFont val="Calibri"/>
        <family val="2"/>
        <scheme val="minor"/>
      </rPr>
      <t xml:space="preserve">
</t>
    </r>
  </si>
  <si>
    <r>
      <t xml:space="preserve">importo massimo </t>
    </r>
    <r>
      <rPr>
        <sz val="11"/>
        <color theme="1"/>
        <rFont val="Calibri"/>
        <family val="2"/>
      </rPr>
      <t>60.000 €</t>
    </r>
  </si>
  <si>
    <r>
      <t xml:space="preserve">importo massimo </t>
    </r>
    <r>
      <rPr>
        <sz val="11"/>
        <color theme="1"/>
        <rFont val="Calibri"/>
        <family val="2"/>
      </rPr>
      <t>209.000 €</t>
    </r>
  </si>
  <si>
    <t>200.000€ oltre CPA e Iva</t>
  </si>
  <si>
    <r>
      <rPr>
        <sz val="11"/>
        <color theme="1"/>
        <rFont val="Calibri"/>
        <family val="2"/>
      </rPr>
      <t xml:space="preserve">18.400€
9.500€ </t>
    </r>
    <r>
      <rPr>
        <sz val="11"/>
        <color theme="1"/>
        <rFont val="Calibri"/>
        <family val="2"/>
        <scheme val="minor"/>
      </rPr>
      <t>(ANNUALE)</t>
    </r>
  </si>
  <si>
    <r>
      <t xml:space="preserve">Revisione Legale: 22.000€
Revisione Reporting package semestrale: 3.000€
Verifica regolare tenuta della contabilità: 4.000€
sottoscrizione dichiarazioni fiscali: 1.000€
TOTALE: </t>
    </r>
    <r>
      <rPr>
        <sz val="11"/>
        <color theme="1"/>
        <rFont val="Calibri"/>
        <family val="2"/>
      </rPr>
      <t>30.000 (annuale)</t>
    </r>
    <r>
      <rPr>
        <sz val="11"/>
        <color theme="1"/>
        <rFont val="Calibri"/>
        <family val="2"/>
        <scheme val="minor"/>
      </rPr>
      <t xml:space="preserve">
Si aggiungono rimborsi spese fino al 5% del valore contrattuale</t>
    </r>
  </si>
  <si>
    <r>
      <rPr>
        <sz val="11"/>
        <color theme="1"/>
        <rFont val="Calibri"/>
        <family val="2"/>
      </rPr>
      <t>4.000€ (per visto di conformità)</t>
    </r>
    <r>
      <rPr>
        <sz val="11"/>
        <color theme="1"/>
        <rFont val="Calibri"/>
        <family val="2"/>
        <scheme val="minor"/>
      </rPr>
      <t xml:space="preserve">
Si aggiungono rimborsi spese fino al 5% del valore contrattuale</t>
    </r>
  </si>
  <si>
    <r>
      <t xml:space="preserve">Valore massimo </t>
    </r>
    <r>
      <rPr>
        <sz val="11"/>
        <color theme="1"/>
        <rFont val="Calibri"/>
        <family val="2"/>
      </rPr>
      <t>10.000.000€</t>
    </r>
  </si>
  <si>
    <t>ARCUS FINANCIAL ADVISORS SRL</t>
  </si>
  <si>
    <t xml:space="preserve">Consulente della società per la costruzione e assistenza di un modello finanziario 
</t>
  </si>
  <si>
    <t>136.350 escluso Iva e contributi previdenziali</t>
  </si>
  <si>
    <t>ALD AUTOMOTIVE</t>
  </si>
  <si>
    <t>01924961004</t>
  </si>
  <si>
    <t xml:space="preserve">Noleggio auto </t>
  </si>
  <si>
    <t>48 mesi</t>
  </si>
  <si>
    <t>24.672 escluso iva</t>
  </si>
  <si>
    <t>Consulente Hedging</t>
  </si>
  <si>
    <t>36.000 escluso Iva</t>
  </si>
  <si>
    <t>LEASYS SPA</t>
  </si>
  <si>
    <t>06714021000</t>
  </si>
  <si>
    <t xml:space="preserve">60 mesi </t>
  </si>
  <si>
    <t>26.400 per n. 2 veicoli</t>
  </si>
  <si>
    <t xml:space="preserve">Noleggio n. 2 auto </t>
  </si>
  <si>
    <t>Contratto lavoro a tempo determinato (Pommella) - proroga</t>
  </si>
  <si>
    <t>AVV.TO STEFANO NESPOR</t>
  </si>
  <si>
    <t>03353590155</t>
  </si>
  <si>
    <t>Rilascio di un parere legale in merito ai profili di responsabilità della società concessionaria in materia di sicurezza sui luoghi di lavoro e ambientale in relazione ai cantieri e ai lavori di costruzione della linea M4 della metropolitana</t>
  </si>
  <si>
    <t>a completamento delle attività che si concluderanno entro 20 giorni dalla data di sottoscrizione</t>
  </si>
  <si>
    <t>6.000€ oltre Iva e contributi previdenziali</t>
  </si>
  <si>
    <t>ATTIVO</t>
  </si>
  <si>
    <t>TERMINATO</t>
  </si>
  <si>
    <t>35.280€ oltre iva e contributi previdenziali</t>
  </si>
  <si>
    <t>INFORMAZIONE
ATTIVO/SCADUTO</t>
  </si>
  <si>
    <t>TERMINATO 10/11/17</t>
  </si>
  <si>
    <t>Incarico per la verifica indipendente dell'inteferenza tra la costruzione di opere della linea M4 e il complesso storico-monumentale della Cà Granda</t>
  </si>
  <si>
    <t xml:space="preserve">49.500€ oltre contributi previdenziali </t>
  </si>
  <si>
    <t>EDENRED ITALIA SRL</t>
  </si>
  <si>
    <t>09429840151</t>
  </si>
  <si>
    <t>Buoni pasto cartacei a favore dei dipendenti di M4</t>
  </si>
  <si>
    <t>RINNOVO 10/12/2018 
qualora la società lo ritenesse, l'incarico può essere rinnovato per un uguale periodo</t>
  </si>
  <si>
    <t>URBAN VISION SPA</t>
  </si>
  <si>
    <t>08236441005</t>
  </si>
  <si>
    <t xml:space="preserve">Gestione degli spazi pubblicitari all'interno della ree di cantiere relative alla realizzazione della linea M4 </t>
  </si>
  <si>
    <t>dal 01/01/18 al 31/12/20</t>
  </si>
  <si>
    <t>783.333,33 annuale</t>
  </si>
  <si>
    <t>Advisor fiscale Attività extracontrattuali</t>
  </si>
  <si>
    <t>DOLPHIN SOC COOP ARL</t>
  </si>
  <si>
    <t>03054000967</t>
  </si>
  <si>
    <t>GIANNI ORIGONI GRIPPO CAPPELLI &amp; PARTNERS STUDIO LEGALE</t>
  </si>
  <si>
    <t>01535691008</t>
  </si>
  <si>
    <t>Incarico di consulente legale di M4 in relazione al contratto di finanziamento project per la progettazione, costruzione e gestione della linea 4 della metropolitana di Milano</t>
  </si>
  <si>
    <t>biennale dalla sottoscrizione dell'incarico</t>
  </si>
  <si>
    <t xml:space="preserve">119800 escluso contributi previdenziali e spese vive </t>
  </si>
  <si>
    <t xml:space="preserve">comodato d'uso gratuito, sono escluse le spese generali di portierato, ascensore e spese di riscaldamento </t>
  </si>
  <si>
    <t>Uffici Comunali Viale G. D'Annunzio 15/17</t>
  </si>
  <si>
    <t>01199250158</t>
  </si>
  <si>
    <t>13/10/2016 al 31/03/2017</t>
  </si>
  <si>
    <t>49.500 mensili oltre 4% CNPAIA e Iva</t>
  </si>
  <si>
    <t>07722780967</t>
  </si>
  <si>
    <t>Revisione del modello di organizzazione, gestione e controllo ai sensi del D. Lgs. 231/01</t>
  </si>
  <si>
    <t>il contratto terminerà con la consegna formale di tutta la documentazione prodotta</t>
  </si>
  <si>
    <t>METROBLU</t>
  </si>
  <si>
    <t>Convenzione inerente l'uso dei servizi dei campi base</t>
  </si>
  <si>
    <t>2016/2017/2018</t>
  </si>
  <si>
    <t>alloggi: 590 € per camera/mese
pranzo: 8€ cadauna
cena: 8€ cadauna
colazione: 1,5€ cadauna</t>
  </si>
  <si>
    <t xml:space="preserve">8.000€ - 3.000€ oltre contributi previdenziali </t>
  </si>
  <si>
    <t>VITO ROSIELLO</t>
  </si>
  <si>
    <t>RSLVTI50S04A091N</t>
  </si>
  <si>
    <t>Incarico di consulenza tecnica di parte nella procedura giudiziale ricorso Immobiliare Ronchetto</t>
  </si>
  <si>
    <t>l'incarico si concluderà al termine dell'iter giudiaziorio</t>
  </si>
  <si>
    <t>4.000 euro oltre Iva, contributi previdenziali</t>
  </si>
  <si>
    <t xml:space="preserve">Incarico per la realizzazione dei corsi di formazione obbligatoria come identificati nel PTPCT </t>
  </si>
  <si>
    <t>l'incarico terminerà con l'erogazione dell'ultimo modulo formativo e l'invio di tutto il materiale formativo predisposto e utilizzato</t>
  </si>
  <si>
    <t>11.500 euro oltre Iva, contributi previdenziali</t>
  </si>
  <si>
    <t>1313434301004</t>
  </si>
  <si>
    <t>AZIENDA TRASPORTI MILANESI SPA</t>
  </si>
  <si>
    <t>Conferimento d'incarico di Professionista Preposto relativamente alle opere delle Linea 4 della metropolitana ai fini dell'art 5 D.P.R. 753/1980 e della circolare M.C.T.C. - D.G. N. 201 del 16/9/1983</t>
  </si>
  <si>
    <t>l'incarico dovrà essere espletato fino all'emissione in servizio dell'ultimo treno metropolitano, che si presume avverrà entro il 2024. In caso di splittamenti rispetto alla predetta data, quale che sia la causa del ritardo, ATM non potrà avanzare nei confronti di M4 richieste di indennizzi, risarcimenti o altri compensi</t>
  </si>
  <si>
    <t>342.000 euro iva esclusa</t>
  </si>
  <si>
    <t xml:space="preserve">ARCH. EUGENIA SILVESTRI </t>
  </si>
  <si>
    <t>SLVGNE71D60F205O</t>
  </si>
  <si>
    <t>Prestazioni tecniche e professionali relative alle opere necessarie al trasferimento degli uffici di M4 nella nuova sede di Viale Gabriele D'Annunzio 15</t>
  </si>
  <si>
    <t xml:space="preserve">decorre dalla data di sottoscrizione tra le Parti e ha durata sino al termine del cantiere </t>
  </si>
  <si>
    <t>8.500 euro oltre Iva, contributi previdenziali</t>
  </si>
  <si>
    <t>24 mesi dalla sottoscrizione</t>
  </si>
  <si>
    <t>209.000€ oltre iva, contributi previdenziali e spese vive</t>
  </si>
  <si>
    <t xml:space="preserve">Contratto Integrativo per la costruzione e assistenza di un modello finanziario 
</t>
  </si>
  <si>
    <t xml:space="preserve">le attività del contratto integrativo avranno termine entro il termine di durata del contratto originariamnete previsto 07/07/2020 </t>
  </si>
  <si>
    <r>
      <t>dal 01/04/2017 al 31/03/2018</t>
    </r>
    <r>
      <rPr>
        <b/>
        <sz val="11"/>
        <color theme="1"/>
        <rFont val="Calibri"/>
        <family val="2"/>
        <scheme val="minor"/>
      </rPr>
      <t xml:space="preserve"> </t>
    </r>
    <r>
      <rPr>
        <sz val="11"/>
        <color theme="1"/>
        <rFont val="Calibri"/>
        <family val="2"/>
        <scheme val="minor"/>
      </rPr>
      <t>- proroga del 29/03/2018 dal 01/04/2018 al 30/06/2018 alle medesime condizioni economiche -</t>
    </r>
    <r>
      <rPr>
        <b/>
        <sz val="11"/>
        <color theme="1"/>
        <rFont val="Calibri"/>
        <family val="2"/>
        <scheme val="minor"/>
      </rPr>
      <t xml:space="preserve"> proroga del 28/06/2018 fino al 31/07/2018 (1 mese) alle medesime cond economiche</t>
    </r>
  </si>
  <si>
    <t xml:space="preserve">corrispettivo annuo1.373.217,36 (inclusi CNPAIA 4%) esclusa Iva </t>
  </si>
  <si>
    <t>12.000€ sulla chiusura di bilancio al 31/12/2016
5.000€ sulla chiusura di bilancio al 31/12/2017
Si aggiungono rimborsi spese fino al 5% del valore contrattuale</t>
  </si>
  <si>
    <t>Incarico per l'assistenza nell'adeguamento al regolamento europeo 679/2016 (privacy)</t>
  </si>
  <si>
    <t>inizio attività programmate per luglio 2018 e conclusione non oltre il 30 settembre 2018</t>
  </si>
  <si>
    <t>3TI ITALIA SPA</t>
  </si>
  <si>
    <t>07025291001</t>
  </si>
  <si>
    <t>Affidamento del servizio di coordinamento della Sicurezza in fase di Progettazione e di coordinamento della sicurezza in fase di esecuzione nonché di referente di cantieri ai sensi dell'art. 7 del protocollo di Legalità nell'ambito del progetto definitivo esecutivo e della realizzazione dei lavori di costruzione della M4</t>
  </si>
  <si>
    <t>dal 01/08/2018 fino alla fine dei lavori coincidente con l'emissione del certificato di collaudo (indicativamente 64 mesi decorrenti dall'avvio dell'esecuzione del servizio)</t>
  </si>
  <si>
    <t>Importo totale del servizio 3.059.143,62 oltre iva e contributi previdenziali</t>
  </si>
  <si>
    <t>STIL EDIL COSTRUZIONI</t>
  </si>
  <si>
    <t>01978960167</t>
  </si>
  <si>
    <t>Lavori di adeguamento degli uffici della futura sede di M4 in Viale D'annunzio</t>
  </si>
  <si>
    <t xml:space="preserve">BDO ITALIA </t>
  </si>
  <si>
    <t>Rilascio e apposizione visto di conformità su dichiarazione IRAP  2018 anno d'imposta 2017</t>
  </si>
  <si>
    <t xml:space="preserve">3.000€ IVA ed oneri accessori di legge esclusi </t>
  </si>
  <si>
    <t>TERMINATO 14/09/18</t>
  </si>
  <si>
    <t>FABER SYSTEM SRL</t>
  </si>
  <si>
    <t>07155170157</t>
  </si>
  <si>
    <t>Protocollo informatico</t>
  </si>
  <si>
    <t>16.800€ una tantum
7.500€ canone annuale</t>
  </si>
  <si>
    <t>tra anni dalla data di invio contratto 26.09.2018</t>
  </si>
  <si>
    <t>RIZ SERVICE SRL</t>
  </si>
  <si>
    <t>22/01/2018- proroga dal 01.08.2018-30.09.2018
27/04/2018 - proroga dal 02/05/18 al 29/06/18 - proroga dal 02/07/18 al 31/07/18 - proroga dal 01/08/18 al 30/09/18 - proroga 01/10/18 al 31/10/18</t>
  </si>
  <si>
    <t>01/08/2018-30/09/2018
01/10/18-31/10/18</t>
  </si>
  <si>
    <t>STUDIO AMICA SOC. COOP.</t>
  </si>
  <si>
    <t>Erogazione in SaaS della piattaforma di E-P rocurement di gare telematiche denominata TuttoGare</t>
  </si>
  <si>
    <t xml:space="preserve">Affidamento triennale
costo annuo 8.000€ </t>
  </si>
  <si>
    <t>24.000 €</t>
  </si>
  <si>
    <r>
      <t xml:space="preserve">30/11/2018
</t>
    </r>
    <r>
      <rPr>
        <b/>
        <sz val="11"/>
        <color theme="1"/>
        <rFont val="Calibri"/>
        <family val="2"/>
        <scheme val="minor"/>
      </rPr>
      <t>20/11/2018 rinnovo durata 36 mesi</t>
    </r>
  </si>
  <si>
    <t>Noleggio ed assistenza tecnica full service multifunzione</t>
  </si>
  <si>
    <t>GRENKE/DUPLEX</t>
  </si>
  <si>
    <t>13187000156</t>
  </si>
  <si>
    <t xml:space="preserve">canone mensile 220 € </t>
  </si>
  <si>
    <t>36 mesi decorrenti dal primo giorno feriale del trimestre solare
da sett - dic 2018</t>
  </si>
  <si>
    <t>750 pulizia ordinaria c/o p.zza castello dall 1 al 12 agosto
2000€ pulizia inizial c/o vial ed'annunzio
3.300€ pulizia ordinaria dal 27 agosto al 30 settembre in Via D'Annunzio
3.300€ pulizia ordinaria dal 1° al 31 ottobre in Via D'Annunzio</t>
  </si>
  <si>
    <t xml:space="preserve">dal ricevimento del cronoprogramma a firma del contraente e committente fino al 6/8/2018
Opere extra contratto per i lavori e le opere necessarie all'adeguamento e al trasferimento della sede </t>
  </si>
  <si>
    <t>01/01/2019-31/12/2019</t>
  </si>
  <si>
    <t>30.900€ escluso Iva</t>
  </si>
  <si>
    <t>Fase 1 € 15.000
Fase 2 il Committente corrisponderà al Contraente l’importo 
maturato e dovuto secondo quanto previsto all’art. 4 (“Corrispettivi ed altre spese”) del Contratto sottoscritto il 7/07/2017, ultimo capoverso a cui questa attività si riferisce.</t>
  </si>
  <si>
    <t>648.120 escluso iva</t>
  </si>
  <si>
    <t>Rate orario unico medio pari ad Euro 240 con CAP mensile pari ad Euro 10.000 + rimborso spese 
Agli onorari vanno aggiunti Iva e CPA 4%</t>
  </si>
  <si>
    <t>KPMG SPA</t>
  </si>
  <si>
    <t>Review indipendente del modello finanziario</t>
  </si>
  <si>
    <t>2 settimane dalla ricezione del modello</t>
  </si>
  <si>
    <t>28.000 €</t>
  </si>
  <si>
    <t>IMPORTO CORRISPOSTO (IVA INCLUSA) NEL TRIMESTRE DI RIFERIMENTO        
01.01.2019 - 31.03.2019</t>
  </si>
  <si>
    <t>BUTTI &amp; PARTNERS ASSOCIAZIONE</t>
  </si>
  <si>
    <t>04144000231</t>
  </si>
  <si>
    <t>entro 20 gg dalla data di sottoscrizione</t>
  </si>
  <si>
    <t>13134301004</t>
  </si>
  <si>
    <t>Assistenza legale specialistica in materia di anticorruzione e trasparenza</t>
  </si>
  <si>
    <t>dalla data di sottoscrizione alla conclusione dell'attività in oggetto</t>
  </si>
  <si>
    <t>4500+spese generali 10%+CPA 4%</t>
  </si>
  <si>
    <t>Incarico per l'assistenza nell'adeguamento al regolamento europeo 679/2016 (privacy) - II FASE</t>
  </si>
  <si>
    <t>Triennale. 
Terninerà con l'approvazione del bilancio d'esercizio della Società al 31.12.2020</t>
  </si>
  <si>
    <r>
      <t xml:space="preserve">- Revisione contabile del bilancio in forma abbreviata 
'- Verifica della regolare tenuta della contabilità
'-Verifiche per la sottoscrizione delle dichiarazioni fiscali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</si>
  <si>
    <r>
      <t xml:space="preserve">- Revisione contabile del bilancio in forma abbreviata </t>
    </r>
    <r>
      <rPr>
        <b/>
        <sz val="11"/>
        <color theme="1"/>
        <rFont val="Calibri"/>
        <family val="2"/>
        <scheme val="minor"/>
      </rPr>
      <t>18.500</t>
    </r>
    <r>
      <rPr>
        <sz val="11"/>
        <color theme="1"/>
        <rFont val="Calibri"/>
        <family val="2"/>
        <scheme val="minor"/>
      </rPr>
      <t xml:space="preserve">
'- Verifica della regolare tenuta della contabilità </t>
    </r>
    <r>
      <rPr>
        <b/>
        <sz val="11"/>
        <color theme="1"/>
        <rFont val="Calibri"/>
        <family val="2"/>
        <scheme val="minor"/>
      </rPr>
      <t>3.500</t>
    </r>
    <r>
      <rPr>
        <sz val="11"/>
        <color theme="1"/>
        <rFont val="Calibri"/>
        <family val="2"/>
        <scheme val="minor"/>
      </rPr>
      <t xml:space="preserve">
'-Verifiche per la sottoscrizione delle dichiarazioni fiscali </t>
    </r>
    <r>
      <rPr>
        <b/>
        <sz val="11"/>
        <color theme="1"/>
        <rFont val="Calibri"/>
        <family val="2"/>
        <scheme val="minor"/>
      </rPr>
      <t>1.000</t>
    </r>
    <r>
      <rPr>
        <sz val="11"/>
        <color theme="1"/>
        <rFont val="Calibri"/>
        <family val="2"/>
        <scheme val="minor"/>
      </rPr>
      <t xml:space="preserve">
'- Revisione del reporting package annuale e revisione contabile limitata del reporting package semestrale sulla base degli IAS/IFRS </t>
    </r>
    <r>
      <rPr>
        <i/>
        <sz val="11"/>
        <color theme="1"/>
        <rFont val="Calibri"/>
        <family val="2"/>
        <scheme val="minor"/>
      </rPr>
      <t>(1) princi IAS/IFRS in vigore alla data della presente proposta</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 Assistenza metodologica nella predisposizione del bilancio in forma ordinaria a seguito dell'applicazione della direttiva europea 2013/34 e dei nuovi OIC </t>
    </r>
    <r>
      <rPr>
        <i/>
        <sz val="11"/>
        <color theme="1"/>
        <rFont val="Calibri"/>
        <family val="2"/>
        <scheme val="minor"/>
      </rPr>
      <t>(2) nella versione ultima ad oggi emessa del 22/12/2017</t>
    </r>
    <r>
      <rPr>
        <sz val="11"/>
        <color theme="1"/>
        <rFont val="Calibri"/>
        <family val="2"/>
        <scheme val="minor"/>
      </rPr>
      <t xml:space="preserve"> </t>
    </r>
    <r>
      <rPr>
        <b/>
        <sz val="11"/>
        <color theme="1"/>
        <rFont val="Calibri"/>
        <family val="2"/>
        <scheme val="minor"/>
      </rPr>
      <t>3.000</t>
    </r>
    <r>
      <rPr>
        <sz val="11"/>
        <color theme="1"/>
        <rFont val="Calibri"/>
        <family val="2"/>
        <scheme val="minor"/>
      </rPr>
      <t xml:space="preserve">
</t>
    </r>
    <r>
      <rPr>
        <b/>
        <sz val="11"/>
        <color theme="1"/>
        <rFont val="Calibri"/>
        <family val="2"/>
        <scheme val="minor"/>
      </rPr>
      <t>Euro 28</t>
    </r>
    <r>
      <rPr>
        <b/>
        <sz val="11"/>
        <color theme="1"/>
        <rFont val="Calibri"/>
        <family val="2"/>
      </rPr>
      <t>.000 per ciascun anno</t>
    </r>
    <r>
      <rPr>
        <sz val="11"/>
        <color theme="1"/>
        <rFont val="Calibri"/>
        <family val="2"/>
        <scheme val="minor"/>
      </rPr>
      <t xml:space="preserve">
Si aggiungono rimborsi spese del 5% del valore contrattuale</t>
    </r>
  </si>
  <si>
    <t xml:space="preserve">PROF. GIOVANNI TARTAGLIA POLCINI </t>
  </si>
  <si>
    <t>TRTGNN68B07A783A</t>
  </si>
  <si>
    <t>Regolamento interno per l'affidamento di incarichi esterni di natura autonoma</t>
  </si>
  <si>
    <t xml:space="preserve">durata di due ore nel giorno e ora concordata tra le parti </t>
  </si>
  <si>
    <t>BONELLI EREDE PAPPALARDO STUDIO LEGALE</t>
  </si>
  <si>
    <t>Conferimento incarico relativo al giudizio da  instaurarsi dinanzi al Tar Lazio-Roma per l'impugnazione da parte di Consul System SpA del provvedimento del GSE di rigetto della PPPM</t>
  </si>
  <si>
    <t>Dalla data di sottoscrizione e terminerà con il completamento delle attività descritte fino all'adozione del giudizio di primo grado o in caso di definizione transattiva della lite, per tutta la durata della gestione della trattativa fino all'eventuale sottoscrizione del relativo atto</t>
  </si>
  <si>
    <t xml:space="preserve">4.750 oltre contributi, e 5% a titolo di rimborso spese generali </t>
  </si>
  <si>
    <t xml:space="preserve">LIPANI CATRICALA' E PARTNERS
STUDIO DI AVVOCATI </t>
  </si>
  <si>
    <t>Incarico per l'assistenza alle attività dell'OdV ex D.Lgs 231/2001</t>
  </si>
  <si>
    <t>IMPORTO PROGRESSIVO  LIQUIDATO (IVA INCLUSA) AL 31/03/2019</t>
  </si>
  <si>
    <t>6.500 oltre Iva e CPA 4%</t>
  </si>
  <si>
    <t>dal 05/11/18 al 05/11/19</t>
  </si>
  <si>
    <t>Inizio attività programmate entro la fine di gennaio 2019 e conclusione non oltre il 30 aprile 2019</t>
  </si>
  <si>
    <t>Le attività oggetto del presente contratto termineranno entro il 31 dicembre 2019</t>
  </si>
  <si>
    <t>29/02/2019</t>
  </si>
  <si>
    <t>2019-2021</t>
  </si>
  <si>
    <t>ELISABETTA GABRIELLI</t>
  </si>
  <si>
    <t>GBRLBT82M43L191U</t>
  </si>
  <si>
    <t>Prestazione lavoro autonomo occasionale, esperto commissione giudicatrice nell'ambito del Concorso Passerella S.Cristoforo</t>
  </si>
  <si>
    <t>Sino alla proclamazione del vincitore del Concorso</t>
  </si>
  <si>
    <t>6.000€ + 500€ rimb spese</t>
  </si>
  <si>
    <t>APERTO</t>
  </si>
  <si>
    <t>ENRICA BARZAGHI</t>
  </si>
  <si>
    <t>BRZNRC74P63B639K</t>
  </si>
  <si>
    <t>REPORT CONTRATTI _ TRIMESTRE 01/01/2019 - 31/03/2019</t>
  </si>
  <si>
    <t>IMPORTO VERSATO (IVA INCLUSA) NEL TRIMESTRE DI RIFERIMENTO        
01/01/19 - 31/03/19</t>
  </si>
  <si>
    <t>IMPORTO PROGRESSIVO VERSATO (IVA INCLUSA) AL 30/03/19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</si>
</sst>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 [$€-1];[Red]\-#,##0\ [$€-1]"/>
    <numFmt numFmtId="165" formatCode="_-* #,##0_-;\-* #,##0_-;_-* &quot;-&quot;??_-;_-@_-"/>
  </numFmts>
  <fonts count="8" x14ac:knownFonts="1">
    <font>
      <sz val="11"/>
      <color theme="1"/>
      <name val="Calibri"/>
      <family val="2"/>
      <scheme val="minor"/>
    </font>
    <font>
      <b/>
      <sz val="11"/>
      <color theme="1"/>
      <name val="Calibri"/>
      <family val="2"/>
      <scheme val="minor"/>
    </font>
    <font>
      <b/>
      <sz val="11"/>
      <color rgb="FF0070C0"/>
      <name val="Calibri"/>
      <family val="2"/>
      <scheme val="minor"/>
    </font>
    <font>
      <sz val="11"/>
      <color theme="1"/>
      <name val="Calibri"/>
      <family val="2"/>
      <scheme val="minor"/>
    </font>
    <font>
      <sz val="11"/>
      <color theme="1"/>
      <name val="Calibri"/>
      <family val="2"/>
    </font>
    <font>
      <b/>
      <u/>
      <sz val="11"/>
      <color theme="1"/>
      <name val="Calibri"/>
      <family val="2"/>
      <scheme val="minor"/>
    </font>
    <font>
      <b/>
      <sz val="11"/>
      <color theme="1"/>
      <name val="Calibri"/>
      <family val="2"/>
    </font>
    <font>
      <i/>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style="hair">
        <color auto="1"/>
      </right>
      <top/>
      <bottom/>
      <diagonal/>
    </border>
  </borders>
  <cellStyleXfs count="9">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80">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quotePrefix="1" applyBorder="1" applyAlignment="1">
      <alignment horizontal="left" vertical="center" wrapText="1"/>
    </xf>
    <xf numFmtId="0" fontId="0" fillId="2" borderId="1" xfId="0"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0" fillId="3" borderId="1" xfId="0" applyFill="1" applyBorder="1" applyAlignment="1">
      <alignment horizontal="center" vertical="center"/>
    </xf>
    <xf numFmtId="14" fontId="0" fillId="0" borderId="1" xfId="0" applyNumberFormat="1" applyBorder="1" applyAlignment="1">
      <alignment horizontal="center" vertical="center" wrapText="1"/>
    </xf>
    <xf numFmtId="43" fontId="0" fillId="0" borderId="1" xfId="1" quotePrefix="1"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5" fillId="0" borderId="0" xfId="0" applyFont="1"/>
    <xf numFmtId="43" fontId="0" fillId="0" borderId="1" xfId="1" applyFont="1" applyBorder="1" applyAlignment="1">
      <alignment horizontal="left" vertical="center" wrapText="1"/>
    </xf>
    <xf numFmtId="43" fontId="0" fillId="0" borderId="1" xfId="1" quotePrefix="1" applyFont="1" applyBorder="1" applyAlignment="1">
      <alignment horizontal="center" vertical="center" wrapText="1"/>
    </xf>
    <xf numFmtId="43" fontId="0" fillId="0" borderId="1" xfId="1" applyFont="1" applyBorder="1" applyAlignment="1">
      <alignment horizontal="left" vertical="center"/>
    </xf>
    <xf numFmtId="43" fontId="0" fillId="0" borderId="0" xfId="1" applyFont="1" applyAlignment="1">
      <alignment horizontal="center" vertical="center"/>
    </xf>
    <xf numFmtId="43" fontId="0" fillId="2" borderId="1" xfId="1" applyFont="1" applyFill="1" applyBorder="1" applyAlignment="1">
      <alignment horizontal="center" vertical="center" wrapText="1"/>
    </xf>
    <xf numFmtId="43" fontId="0" fillId="3" borderId="1" xfId="1"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0" borderId="2" xfId="0" quotePrefix="1" applyFont="1" applyBorder="1" applyAlignment="1">
      <alignment horizontal="center" vertical="center" wrapText="1"/>
    </xf>
    <xf numFmtId="14" fontId="0" fillId="0" borderId="2" xfId="0" applyNumberFormat="1" applyBorder="1" applyAlignment="1">
      <alignment horizontal="center" vertical="center" wrapText="1"/>
    </xf>
    <xf numFmtId="14" fontId="0" fillId="0" borderId="3" xfId="0" applyNumberFormat="1" applyBorder="1" applyAlignment="1">
      <alignment horizontal="center" vertical="center"/>
    </xf>
    <xf numFmtId="0" fontId="2" fillId="0" borderId="1" xfId="0" quotePrefix="1" applyFont="1" applyBorder="1" applyAlignment="1">
      <alignment horizontal="center" vertical="center"/>
    </xf>
    <xf numFmtId="0" fontId="0" fillId="0" borderId="0" xfId="0" applyAlignment="1">
      <alignment horizontal="right" vertical="center"/>
    </xf>
    <xf numFmtId="0" fontId="0" fillId="2" borderId="1" xfId="0" applyFill="1" applyBorder="1" applyAlignment="1">
      <alignment horizontal="right" vertical="center" wrapText="1"/>
    </xf>
    <xf numFmtId="0" fontId="0" fillId="4" borderId="1" xfId="0" applyFill="1" applyBorder="1" applyAlignment="1">
      <alignment horizontal="left" vertical="center" wrapText="1"/>
    </xf>
    <xf numFmtId="4" fontId="0" fillId="0" borderId="3" xfId="0" applyNumberFormat="1" applyBorder="1" applyAlignment="1">
      <alignment horizontal="left" vertical="center"/>
    </xf>
    <xf numFmtId="4" fontId="0" fillId="0" borderId="1" xfId="0" applyNumberFormat="1" applyBorder="1" applyAlignment="1">
      <alignment horizontal="right" vertical="center"/>
    </xf>
    <xf numFmtId="0" fontId="3" fillId="0" borderId="1" xfId="0" applyFont="1" applyBorder="1" applyAlignment="1">
      <alignment horizontal="left" vertical="center" wrapText="1"/>
    </xf>
    <xf numFmtId="14" fontId="3" fillId="0" borderId="1" xfId="0" applyNumberFormat="1" applyFont="1" applyBorder="1" applyAlignment="1">
      <alignment horizontal="center" vertical="center" wrapText="1"/>
    </xf>
    <xf numFmtId="14" fontId="3" fillId="0" borderId="3" xfId="0" applyNumberFormat="1" applyFont="1" applyBorder="1" applyAlignment="1">
      <alignment horizontal="center" vertical="center"/>
    </xf>
    <xf numFmtId="4" fontId="3" fillId="0" borderId="3" xfId="0" applyNumberFormat="1" applyFont="1" applyBorder="1" applyAlignment="1">
      <alignment horizontal="left" vertical="center"/>
    </xf>
    <xf numFmtId="43" fontId="0" fillId="0" borderId="1" xfId="5" quotePrefix="1" applyFont="1" applyBorder="1" applyAlignment="1">
      <alignment horizontal="left" vertical="center" wrapText="1"/>
    </xf>
    <xf numFmtId="14" fontId="3" fillId="0" borderId="1" xfId="0" applyNumberFormat="1" applyFont="1" applyBorder="1" applyAlignment="1">
      <alignment horizontal="center" vertical="center"/>
    </xf>
    <xf numFmtId="0" fontId="4"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164" fontId="4" fillId="0" borderId="1" xfId="0" applyNumberFormat="1" applyFont="1" applyBorder="1" applyAlignment="1">
      <alignment horizontal="right" vertical="center"/>
    </xf>
    <xf numFmtId="164" fontId="4" fillId="0" borderId="1" xfId="0" applyNumberFormat="1" applyFont="1" applyBorder="1" applyAlignment="1">
      <alignment horizontal="left" vertical="center" wrapText="1"/>
    </xf>
    <xf numFmtId="14" fontId="0" fillId="0" borderId="1" xfId="0" quotePrefix="1" applyNumberFormat="1" applyBorder="1" applyAlignment="1">
      <alignment horizontal="left" vertical="center" wrapText="1"/>
    </xf>
    <xf numFmtId="164" fontId="4" fillId="0" borderId="1" xfId="0" applyNumberFormat="1" applyFont="1" applyBorder="1" applyAlignment="1">
      <alignment horizontal="left" vertical="center"/>
    </xf>
    <xf numFmtId="0" fontId="0" fillId="0" borderId="1" xfId="1" quotePrefix="1" applyNumberFormat="1" applyFont="1" applyBorder="1" applyAlignment="1">
      <alignment horizontal="left" vertical="center" wrapText="1"/>
    </xf>
    <xf numFmtId="43" fontId="0" fillId="0" borderId="1" xfId="8" quotePrefix="1" applyFont="1" applyBorder="1" applyAlignment="1">
      <alignment horizontal="left" vertical="center" wrapText="1"/>
    </xf>
    <xf numFmtId="0" fontId="2" fillId="2" borderId="4" xfId="0" applyFont="1" applyFill="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left" vertical="center"/>
    </xf>
    <xf numFmtId="3" fontId="0" fillId="0" borderId="1" xfId="0" quotePrefix="1" applyNumberFormat="1" applyBorder="1" applyAlignment="1">
      <alignment horizontal="left" vertical="center"/>
    </xf>
    <xf numFmtId="164" fontId="0" fillId="0" borderId="1" xfId="0" applyNumberFormat="1" applyBorder="1" applyAlignment="1">
      <alignment horizontal="left" vertical="center" wrapText="1"/>
    </xf>
    <xf numFmtId="14" fontId="0" fillId="0" borderId="1" xfId="0" applyNumberFormat="1" applyBorder="1" applyAlignment="1">
      <alignment horizontal="left" vertical="center" wrapText="1"/>
    </xf>
    <xf numFmtId="165" fontId="3" fillId="0" borderId="1" xfId="1" quotePrefix="1" applyNumberFormat="1" applyBorder="1" applyAlignment="1">
      <alignment horizontal="left" vertical="center" wrapText="1"/>
    </xf>
    <xf numFmtId="43" fontId="3" fillId="0" borderId="1" xfId="1" quotePrefix="1" applyBorder="1" applyAlignment="1">
      <alignment horizontal="left" vertical="center" wrapText="1"/>
    </xf>
    <xf numFmtId="43" fontId="0" fillId="0" borderId="2" xfId="1" quotePrefix="1" applyFont="1" applyBorder="1" applyAlignment="1">
      <alignment horizontal="left" vertical="center" wrapText="1"/>
    </xf>
    <xf numFmtId="164" fontId="3" fillId="0" borderId="1" xfId="1" quotePrefix="1" applyNumberFormat="1" applyBorder="1" applyAlignment="1">
      <alignment horizontal="left" vertical="center" wrapText="1"/>
    </xf>
    <xf numFmtId="0" fontId="4" fillId="0" borderId="1" xfId="0" quotePrefix="1" applyFont="1" applyBorder="1" applyAlignment="1">
      <alignment horizontal="left" vertical="center" wrapText="1"/>
    </xf>
    <xf numFmtId="43" fontId="0" fillId="0" borderId="1" xfId="1" quotePrefix="1" applyFont="1" applyBorder="1" applyAlignment="1">
      <alignment horizontal="right" vertical="center" wrapText="1"/>
    </xf>
    <xf numFmtId="43" fontId="0" fillId="0" borderId="1" xfId="1" applyFont="1" applyBorder="1" applyAlignment="1">
      <alignment horizontal="right" vertical="center" wrapText="1"/>
    </xf>
    <xf numFmtId="43" fontId="0" fillId="0" borderId="1" xfId="1" applyFont="1" applyBorder="1" applyAlignment="1">
      <alignment horizontal="right" vertical="center"/>
    </xf>
    <xf numFmtId="43" fontId="0" fillId="3" borderId="1" xfId="1" applyFont="1" applyFill="1" applyBorder="1" applyAlignment="1">
      <alignment horizontal="right" vertical="center" wrapText="1"/>
    </xf>
    <xf numFmtId="43" fontId="1" fillId="0" borderId="1" xfId="1" quotePrefix="1" applyFont="1" applyBorder="1" applyAlignment="1">
      <alignment horizontal="right" vertical="center" wrapText="1"/>
    </xf>
    <xf numFmtId="43" fontId="0" fillId="0" borderId="1" xfId="1" quotePrefix="1" applyFont="1" applyBorder="1" applyAlignment="1">
      <alignment horizontal="right" vertical="center"/>
    </xf>
    <xf numFmtId="43" fontId="0" fillId="0" borderId="0" xfId="1" applyFont="1" applyAlignment="1">
      <alignment horizontal="right" vertical="center"/>
    </xf>
    <xf numFmtId="43" fontId="0" fillId="0" borderId="1" xfId="7" quotePrefix="1" applyFont="1" applyBorder="1" applyAlignment="1">
      <alignment horizontal="right" vertical="center" wrapText="1"/>
    </xf>
    <xf numFmtId="43" fontId="3" fillId="0" borderId="1" xfId="1" applyBorder="1" applyAlignment="1">
      <alignment horizontal="center" vertical="center"/>
    </xf>
    <xf numFmtId="4" fontId="0" fillId="0" borderId="3" xfId="0" applyNumberFormat="1" applyBorder="1" applyAlignment="1">
      <alignment horizontal="left" vertical="center" wrapText="1"/>
    </xf>
    <xf numFmtId="0" fontId="3"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wrapText="1"/>
    </xf>
    <xf numFmtId="164" fontId="4" fillId="0" borderId="1" xfId="0" quotePrefix="1" applyNumberFormat="1" applyFont="1" applyBorder="1" applyAlignment="1">
      <alignment horizontal="left" vertical="center" wrapText="1"/>
    </xf>
    <xf numFmtId="14" fontId="0" fillId="4" borderId="1" xfId="0" applyNumberFormat="1" applyFill="1" applyBorder="1" applyAlignment="1">
      <alignment horizontal="center" vertical="center" wrapText="1"/>
    </xf>
    <xf numFmtId="43" fontId="0" fillId="0" borderId="1" xfId="1" applyFont="1" applyBorder="1" applyAlignment="1">
      <alignment horizontal="center" vertical="center" wrapText="1"/>
    </xf>
    <xf numFmtId="165" fontId="0" fillId="0" borderId="1" xfId="1" quotePrefix="1" applyNumberFormat="1" applyFont="1" applyBorder="1" applyAlignment="1">
      <alignment vertical="center" wrapText="1"/>
    </xf>
    <xf numFmtId="165" fontId="0" fillId="0" borderId="1" xfId="1" quotePrefix="1" applyNumberFormat="1" applyFont="1" applyBorder="1" applyAlignment="1">
      <alignment horizontal="left" vertical="center" wrapText="1"/>
    </xf>
    <xf numFmtId="164" fontId="0" fillId="0" borderId="1" xfId="1" quotePrefix="1" applyNumberFormat="1" applyFont="1" applyBorder="1" applyAlignment="1">
      <alignment horizontal="left" vertical="center" wrapText="1"/>
    </xf>
    <xf numFmtId="0" fontId="4" fillId="0" borderId="1" xfId="0" applyFont="1" applyBorder="1" applyAlignment="1">
      <alignment horizontal="left" vertical="center" wrapText="1"/>
    </xf>
    <xf numFmtId="0" fontId="1" fillId="0" borderId="0" xfId="0" applyFont="1"/>
  </cellXfs>
  <cellStyles count="9">
    <cellStyle name="Migliaia" xfId="1" builtinId="3"/>
    <cellStyle name="Migliaia 14" xfId="2" xr:uid="{00000000-0005-0000-0000-000001000000}"/>
    <cellStyle name="Migliaia 2" xfId="4" xr:uid="{00000000-0005-0000-0000-000032000000}"/>
    <cellStyle name="Migliaia 3" xfId="5" xr:uid="{00000000-0005-0000-0000-000033000000}"/>
    <cellStyle name="Migliaia 3 6" xfId="3" xr:uid="{00000000-0005-0000-0000-000002000000}"/>
    <cellStyle name="Migliaia 4" xfId="6" xr:uid="{00000000-0005-0000-0000-000034000000}"/>
    <cellStyle name="Migliaia 5" xfId="7" xr:uid="{00000000-0005-0000-0000-000035000000}"/>
    <cellStyle name="Migliaia 6" xfId="8" xr:uid="{00000000-0005-0000-0000-000036000000}"/>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3943350</xdr:colOff>
      <xdr:row>9</xdr:row>
      <xdr:rowOff>995362</xdr:rowOff>
    </xdr:from>
    <xdr:ext cx="65" cy="172227"/>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10</xdr:row>
      <xdr:rowOff>995362</xdr:rowOff>
    </xdr:from>
    <xdr:ext cx="65" cy="172227"/>
    <xdr:sp macro="" textlink="">
      <xdr:nvSpPr>
        <xdr:cNvPr id="15" name="CasellaDiTesto 14">
          <a:extLst>
            <a:ext uri="{FF2B5EF4-FFF2-40B4-BE49-F238E27FC236}">
              <a16:creationId xmlns:a16="http://schemas.microsoft.com/office/drawing/2014/main" id="{00000000-0008-0000-0000-00000F000000}"/>
            </a:ext>
          </a:extLst>
        </xdr:cNvPr>
        <xdr:cNvSpPr txBox="1"/>
      </xdr:nvSpPr>
      <xdr:spPr>
        <a:xfrm>
          <a:off x="8610600" y="5795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11</xdr:row>
      <xdr:rowOff>995362</xdr:rowOff>
    </xdr:from>
    <xdr:ext cx="65" cy="172227"/>
    <xdr:sp macro="" textlink="">
      <xdr:nvSpPr>
        <xdr:cNvPr id="17" name="CasellaDiTesto 16">
          <a:extLst>
            <a:ext uri="{FF2B5EF4-FFF2-40B4-BE49-F238E27FC236}">
              <a16:creationId xmlns:a16="http://schemas.microsoft.com/office/drawing/2014/main" id="{00000000-0008-0000-0000-000011000000}"/>
            </a:ext>
          </a:extLst>
        </xdr:cNvPr>
        <xdr:cNvSpPr txBox="1"/>
      </xdr:nvSpPr>
      <xdr:spPr>
        <a:xfrm>
          <a:off x="8610600" y="68151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12</xdr:row>
      <xdr:rowOff>995362</xdr:rowOff>
    </xdr:from>
    <xdr:ext cx="65" cy="172227"/>
    <xdr:sp macro="" textlink="">
      <xdr:nvSpPr>
        <xdr:cNvPr id="19" name="CasellaDiTesto 18">
          <a:extLst>
            <a:ext uri="{FF2B5EF4-FFF2-40B4-BE49-F238E27FC236}">
              <a16:creationId xmlns:a16="http://schemas.microsoft.com/office/drawing/2014/main" id="{00000000-0008-0000-0000-000013000000}"/>
            </a:ext>
          </a:extLst>
        </xdr:cNvPr>
        <xdr:cNvSpPr txBox="1"/>
      </xdr:nvSpPr>
      <xdr:spPr>
        <a:xfrm>
          <a:off x="8610600" y="78343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1</xdr:col>
      <xdr:colOff>26194</xdr:colOff>
      <xdr:row>0</xdr:row>
      <xdr:rowOff>69056</xdr:rowOff>
    </xdr:from>
    <xdr:to>
      <xdr:col>2</xdr:col>
      <xdr:colOff>302419</xdr:colOff>
      <xdr:row>3</xdr:row>
      <xdr:rowOff>138019</xdr:rowOff>
    </xdr:to>
    <xdr:pic>
      <xdr:nvPicPr>
        <xdr:cNvPr id="30" name="Immagine 29" descr="M4_Logo">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8194" y="69056"/>
          <a:ext cx="1657350"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3943350</xdr:colOff>
      <xdr:row>5</xdr:row>
      <xdr:rowOff>0</xdr:rowOff>
    </xdr:from>
    <xdr:ext cx="65" cy="172227"/>
    <xdr:sp macro="" textlink="">
      <xdr:nvSpPr>
        <xdr:cNvPr id="2" name="CasellaDiTesto 1">
          <a:extLst>
            <a:ext uri="{FF2B5EF4-FFF2-40B4-BE49-F238E27FC236}">
              <a16:creationId xmlns:a16="http://schemas.microsoft.com/office/drawing/2014/main" id="{F906D062-8AC5-41F1-85C5-7EEB29B8D598}"/>
            </a:ext>
          </a:extLst>
        </xdr:cNvPr>
        <xdr:cNvSpPr txBox="1"/>
      </xdr:nvSpPr>
      <xdr:spPr>
        <a:xfrm>
          <a:off x="7296150" y="62150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3" name="CasellaDiTesto 2">
          <a:extLst>
            <a:ext uri="{FF2B5EF4-FFF2-40B4-BE49-F238E27FC236}">
              <a16:creationId xmlns:a16="http://schemas.microsoft.com/office/drawing/2014/main" id="{7F50E3EA-694A-468A-AA4A-981643696ABA}"/>
            </a:ext>
          </a:extLst>
        </xdr:cNvPr>
        <xdr:cNvSpPr txBox="1"/>
      </xdr:nvSpPr>
      <xdr:spPr>
        <a:xfrm>
          <a:off x="7296150" y="710088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4" name="CasellaDiTesto 3">
          <a:extLst>
            <a:ext uri="{FF2B5EF4-FFF2-40B4-BE49-F238E27FC236}">
              <a16:creationId xmlns:a16="http://schemas.microsoft.com/office/drawing/2014/main" id="{2C7AB32E-DFD9-4C18-B884-FE47DEB832DA}"/>
            </a:ext>
          </a:extLst>
        </xdr:cNvPr>
        <xdr:cNvSpPr txBox="1"/>
      </xdr:nvSpPr>
      <xdr:spPr>
        <a:xfrm>
          <a:off x="7296150" y="79867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oneCellAnchor>
    <xdr:from>
      <xdr:col>3</xdr:col>
      <xdr:colOff>3943350</xdr:colOff>
      <xdr:row>5</xdr:row>
      <xdr:rowOff>0</xdr:rowOff>
    </xdr:from>
    <xdr:ext cx="65" cy="172227"/>
    <xdr:sp macro="" textlink="">
      <xdr:nvSpPr>
        <xdr:cNvPr id="5" name="CasellaDiTesto 4">
          <a:extLst>
            <a:ext uri="{FF2B5EF4-FFF2-40B4-BE49-F238E27FC236}">
              <a16:creationId xmlns:a16="http://schemas.microsoft.com/office/drawing/2014/main" id="{D92DC25D-9AFD-467F-8AB6-47D311B2F5E1}"/>
            </a:ext>
          </a:extLst>
        </xdr:cNvPr>
        <xdr:cNvSpPr txBox="1"/>
      </xdr:nvSpPr>
      <xdr:spPr>
        <a:xfrm>
          <a:off x="7296150" y="887253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it-IT" sz="1100"/>
        </a:p>
      </xdr:txBody>
    </xdr:sp>
    <xdr:clientData/>
  </xdr:oneCellAnchor>
  <xdr:twoCellAnchor>
    <xdr:from>
      <xdr:col>0</xdr:col>
      <xdr:colOff>133350</xdr:colOff>
      <xdr:row>0</xdr:row>
      <xdr:rowOff>57150</xdr:rowOff>
    </xdr:from>
    <xdr:to>
      <xdr:col>1</xdr:col>
      <xdr:colOff>1028700</xdr:colOff>
      <xdr:row>3</xdr:row>
      <xdr:rowOff>126113</xdr:rowOff>
    </xdr:to>
    <xdr:pic>
      <xdr:nvPicPr>
        <xdr:cNvPr id="6" name="Immagine 5" descr="M4_Logo">
          <a:extLst>
            <a:ext uri="{FF2B5EF4-FFF2-40B4-BE49-F238E27FC236}">
              <a16:creationId xmlns:a16="http://schemas.microsoft.com/office/drawing/2014/main" id="{DCC42F12-FC20-48F6-A105-F1F69BF8D5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57150"/>
          <a:ext cx="1038225" cy="640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5"/>
  <sheetViews>
    <sheetView showGridLines="0" tabSelected="1" zoomScale="80" zoomScaleNormal="80" workbookViewId="0">
      <pane ySplit="5" topLeftCell="A72" activePane="bottomLeft" state="frozen"/>
      <selection pane="bottomLeft" activeCell="I5" sqref="I5"/>
    </sheetView>
  </sheetViews>
  <sheetFormatPr defaultColWidth="20.7265625" defaultRowHeight="80.25" customHeight="1" x14ac:dyDescent="0.35"/>
  <cols>
    <col min="1" max="1" width="6.7265625" style="9" customWidth="1"/>
    <col min="2" max="2" width="20.7265625" customWidth="1"/>
    <col min="3" max="3" width="19" bestFit="1" customWidth="1"/>
    <col min="4" max="4" width="55.81640625" style="10" customWidth="1"/>
    <col min="5" max="5" width="27.1796875" style="9" bestFit="1" customWidth="1"/>
    <col min="6" max="6" width="37.453125" style="9" bestFit="1" customWidth="1"/>
    <col min="7" max="7" width="49.7265625" style="29" customWidth="1"/>
    <col min="8" max="8" width="32.7265625" style="21" bestFit="1" customWidth="1"/>
    <col min="9" max="9" width="32.26953125" bestFit="1" customWidth="1"/>
    <col min="10" max="10" width="22.1796875" bestFit="1" customWidth="1"/>
  </cols>
  <sheetData>
    <row r="1" spans="1:10" ht="14.5" x14ac:dyDescent="0.35"/>
    <row r="2" spans="1:10" ht="14.5" x14ac:dyDescent="0.35"/>
    <row r="3" spans="1:10" ht="14.5" x14ac:dyDescent="0.35">
      <c r="C3" s="17"/>
      <c r="D3" s="79" t="s">
        <v>292</v>
      </c>
    </row>
    <row r="4" spans="1:10" ht="14.5" x14ac:dyDescent="0.35"/>
    <row r="5" spans="1:10" ht="80.25" customHeight="1" x14ac:dyDescent="0.35">
      <c r="B5" s="6" t="s">
        <v>0</v>
      </c>
      <c r="C5" s="6" t="s">
        <v>84</v>
      </c>
      <c r="D5" s="6" t="s">
        <v>1</v>
      </c>
      <c r="E5" s="6" t="s">
        <v>2</v>
      </c>
      <c r="F5" s="6" t="s">
        <v>26</v>
      </c>
      <c r="G5" s="6" t="s">
        <v>87</v>
      </c>
      <c r="H5" s="22" t="s">
        <v>255</v>
      </c>
      <c r="I5" s="22" t="s">
        <v>277</v>
      </c>
      <c r="J5" s="41" t="s">
        <v>153</v>
      </c>
    </row>
    <row r="6" spans="1:10" ht="70" customHeight="1" x14ac:dyDescent="0.35">
      <c r="A6" s="9">
        <v>1</v>
      </c>
      <c r="B6" s="8" t="s">
        <v>82</v>
      </c>
      <c r="C6" s="14">
        <v>4157540966</v>
      </c>
      <c r="D6" s="4" t="s">
        <v>5</v>
      </c>
      <c r="E6" s="3">
        <v>42474</v>
      </c>
      <c r="F6" s="2" t="s">
        <v>3</v>
      </c>
      <c r="G6" s="5" t="s">
        <v>125</v>
      </c>
      <c r="H6" s="60"/>
      <c r="I6" s="19">
        <v>34038</v>
      </c>
      <c r="J6" s="1" t="s">
        <v>151</v>
      </c>
    </row>
    <row r="7" spans="1:10" ht="101.5" x14ac:dyDescent="0.35">
      <c r="A7" s="9">
        <v>2</v>
      </c>
      <c r="B7" s="8" t="s">
        <v>10</v>
      </c>
      <c r="C7" s="15">
        <v>3049560166</v>
      </c>
      <c r="D7" s="5" t="s">
        <v>4</v>
      </c>
      <c r="E7" s="3">
        <v>42045</v>
      </c>
      <c r="F7" s="2" t="s">
        <v>6</v>
      </c>
      <c r="G7" s="4" t="s">
        <v>126</v>
      </c>
      <c r="H7" s="61"/>
      <c r="I7" s="18">
        <f>68588+1409.1+17820+17887+1433+1062</f>
        <v>108199.1</v>
      </c>
      <c r="J7" s="1" t="s">
        <v>151</v>
      </c>
    </row>
    <row r="8" spans="1:10" ht="70" customHeight="1" x14ac:dyDescent="0.35">
      <c r="A8" s="9">
        <v>3</v>
      </c>
      <c r="B8" s="8" t="s">
        <v>10</v>
      </c>
      <c r="C8" s="15">
        <v>3049560166</v>
      </c>
      <c r="D8" s="5" t="s">
        <v>54</v>
      </c>
      <c r="E8" s="3">
        <v>42781</v>
      </c>
      <c r="F8" s="2" t="s">
        <v>55</v>
      </c>
      <c r="G8" s="59" t="s">
        <v>211</v>
      </c>
      <c r="H8" s="60"/>
      <c r="I8" s="19">
        <f>7686+7686</f>
        <v>15372</v>
      </c>
      <c r="J8" s="1" t="s">
        <v>151</v>
      </c>
    </row>
    <row r="9" spans="1:10" ht="70" customHeight="1" x14ac:dyDescent="0.35">
      <c r="A9" s="9">
        <v>4</v>
      </c>
      <c r="B9" s="8" t="s">
        <v>10</v>
      </c>
      <c r="C9" s="15">
        <v>3049560166</v>
      </c>
      <c r="D9" s="4" t="s">
        <v>52</v>
      </c>
      <c r="E9" s="3">
        <v>42786</v>
      </c>
      <c r="F9" s="1" t="s">
        <v>53</v>
      </c>
      <c r="G9" s="4" t="s">
        <v>127</v>
      </c>
      <c r="H9" s="61"/>
      <c r="I9" s="18"/>
      <c r="J9" s="42" t="s">
        <v>150</v>
      </c>
    </row>
    <row r="10" spans="1:10" ht="70" customHeight="1" x14ac:dyDescent="0.35">
      <c r="A10" s="9">
        <v>5</v>
      </c>
      <c r="B10" s="8" t="s">
        <v>9</v>
      </c>
      <c r="C10" s="15">
        <v>4596040966</v>
      </c>
      <c r="D10" s="4" t="s">
        <v>8</v>
      </c>
      <c r="E10" s="3">
        <v>42564</v>
      </c>
      <c r="F10" s="1" t="s">
        <v>7</v>
      </c>
      <c r="G10" s="50" t="s">
        <v>128</v>
      </c>
      <c r="H10" s="62"/>
      <c r="I10" s="20">
        <f>1141143.97+191636.24+284419.19+469975.05+133081.19+167374.66+47929.31+233261.83+24742.49+40458.93+13140.69+10259.17+9899.66+50954.75</f>
        <v>2818277.1300000008</v>
      </c>
      <c r="J10" s="42" t="s">
        <v>150</v>
      </c>
    </row>
    <row r="11" spans="1:10" ht="70" customHeight="1" x14ac:dyDescent="0.35">
      <c r="A11" s="9">
        <v>6</v>
      </c>
      <c r="B11" s="8" t="s">
        <v>11</v>
      </c>
      <c r="C11" s="15">
        <v>4596040966</v>
      </c>
      <c r="D11" s="4" t="s">
        <v>16</v>
      </c>
      <c r="E11" s="3">
        <v>42614</v>
      </c>
      <c r="F11" s="1" t="s">
        <v>15</v>
      </c>
      <c r="G11" s="4" t="s">
        <v>15</v>
      </c>
      <c r="H11" s="63"/>
      <c r="I11" s="23"/>
      <c r="J11" s="42" t="s">
        <v>150</v>
      </c>
    </row>
    <row r="12" spans="1:10" ht="70" customHeight="1" x14ac:dyDescent="0.35">
      <c r="A12" s="9">
        <v>7</v>
      </c>
      <c r="B12" s="8" t="s">
        <v>12</v>
      </c>
      <c r="C12" s="15">
        <v>4596040966</v>
      </c>
      <c r="D12" s="4" t="s">
        <v>17</v>
      </c>
      <c r="E12" s="3">
        <v>42565</v>
      </c>
      <c r="F12" s="1" t="s">
        <v>15</v>
      </c>
      <c r="G12" s="4" t="s">
        <v>15</v>
      </c>
      <c r="H12" s="63"/>
      <c r="I12" s="23"/>
      <c r="J12" s="42" t="s">
        <v>150</v>
      </c>
    </row>
    <row r="13" spans="1:10" ht="70" customHeight="1" x14ac:dyDescent="0.35">
      <c r="A13" s="9">
        <v>8</v>
      </c>
      <c r="B13" s="8" t="s">
        <v>13</v>
      </c>
      <c r="C13" s="15">
        <v>4596040966</v>
      </c>
      <c r="D13" s="4" t="s">
        <v>18</v>
      </c>
      <c r="E13" s="3">
        <v>42605</v>
      </c>
      <c r="F13" s="1" t="s">
        <v>15</v>
      </c>
      <c r="G13" s="4" t="s">
        <v>15</v>
      </c>
      <c r="H13" s="63"/>
      <c r="I13" s="23"/>
      <c r="J13" s="42" t="s">
        <v>150</v>
      </c>
    </row>
    <row r="14" spans="1:10" ht="70" customHeight="1" x14ac:dyDescent="0.35">
      <c r="A14" s="9">
        <v>9</v>
      </c>
      <c r="B14" s="8" t="s">
        <v>14</v>
      </c>
      <c r="C14" s="15">
        <v>4596040966</v>
      </c>
      <c r="D14" s="4" t="s">
        <v>19</v>
      </c>
      <c r="E14" s="3">
        <v>42605</v>
      </c>
      <c r="F14" s="1" t="s">
        <v>15</v>
      </c>
      <c r="G14" s="4" t="s">
        <v>15</v>
      </c>
      <c r="H14" s="63"/>
      <c r="I14" s="23"/>
      <c r="J14" s="42" t="s">
        <v>150</v>
      </c>
    </row>
    <row r="15" spans="1:10" ht="70" customHeight="1" x14ac:dyDescent="0.35">
      <c r="A15" s="9">
        <v>10</v>
      </c>
      <c r="B15" s="8" t="s">
        <v>62</v>
      </c>
      <c r="C15" s="15">
        <v>4596040966</v>
      </c>
      <c r="D15" s="4" t="s">
        <v>63</v>
      </c>
      <c r="E15" s="3">
        <v>42774</v>
      </c>
      <c r="F15" s="1" t="s">
        <v>64</v>
      </c>
      <c r="G15" s="5" t="s">
        <v>65</v>
      </c>
      <c r="H15" s="64"/>
      <c r="I15" s="13"/>
      <c r="J15" s="42" t="s">
        <v>150</v>
      </c>
    </row>
    <row r="16" spans="1:10" ht="70" customHeight="1" x14ac:dyDescent="0.35">
      <c r="A16" s="9">
        <v>11</v>
      </c>
      <c r="B16" s="8" t="s">
        <v>62</v>
      </c>
      <c r="C16" s="15">
        <v>4596040966</v>
      </c>
      <c r="D16" s="4" t="s">
        <v>66</v>
      </c>
      <c r="E16" s="3">
        <v>42793</v>
      </c>
      <c r="F16" s="1" t="s">
        <v>64</v>
      </c>
      <c r="G16" s="5" t="s">
        <v>67</v>
      </c>
      <c r="H16" s="64"/>
      <c r="I16" s="13"/>
      <c r="J16" s="42" t="s">
        <v>150</v>
      </c>
    </row>
    <row r="17" spans="1:10" ht="70" customHeight="1" x14ac:dyDescent="0.35">
      <c r="A17" s="9">
        <v>12</v>
      </c>
      <c r="B17" s="8" t="s">
        <v>20</v>
      </c>
      <c r="C17" s="15">
        <v>2309220602</v>
      </c>
      <c r="D17" s="4" t="s">
        <v>21</v>
      </c>
      <c r="E17" s="3">
        <v>41942</v>
      </c>
      <c r="F17" s="3">
        <v>44316</v>
      </c>
      <c r="G17" s="51">
        <v>648340</v>
      </c>
      <c r="H17" s="62"/>
      <c r="I17" s="13">
        <f>337339.76+19646.88+19921+12012+53130+61218+18018+70290</f>
        <v>591575.64</v>
      </c>
      <c r="J17" s="42" t="s">
        <v>150</v>
      </c>
    </row>
    <row r="18" spans="1:10" ht="70" customHeight="1" x14ac:dyDescent="0.35">
      <c r="A18" s="9">
        <v>13</v>
      </c>
      <c r="B18" s="7" t="s">
        <v>111</v>
      </c>
      <c r="C18" s="14">
        <v>2309220602</v>
      </c>
      <c r="D18" s="4" t="s">
        <v>21</v>
      </c>
      <c r="E18" s="3">
        <v>41942</v>
      </c>
      <c r="F18" s="3">
        <v>44316</v>
      </c>
      <c r="G18" s="51" t="s">
        <v>249</v>
      </c>
      <c r="H18" s="62">
        <v>45034</v>
      </c>
      <c r="I18" s="13">
        <f>436225.18+32615+58002.25+13365+564.79+32905+1074.82+48741+32615+36773+45034</f>
        <v>737915.03999999992</v>
      </c>
      <c r="J18" s="42" t="s">
        <v>150</v>
      </c>
    </row>
    <row r="19" spans="1:10" ht="70" customHeight="1" x14ac:dyDescent="0.35">
      <c r="A19" s="9">
        <v>14</v>
      </c>
      <c r="B19" s="8" t="s">
        <v>83</v>
      </c>
      <c r="C19" s="14">
        <v>1742310152</v>
      </c>
      <c r="D19" s="4" t="s">
        <v>22</v>
      </c>
      <c r="E19" s="3"/>
      <c r="F19" s="12" t="s">
        <v>177</v>
      </c>
      <c r="G19" s="51" t="s">
        <v>178</v>
      </c>
      <c r="H19" s="62"/>
      <c r="I19" s="13">
        <v>283140</v>
      </c>
      <c r="J19" s="1" t="s">
        <v>151</v>
      </c>
    </row>
    <row r="20" spans="1:10" ht="70" customHeight="1" x14ac:dyDescent="0.35">
      <c r="A20" s="9">
        <v>15</v>
      </c>
      <c r="B20" s="7" t="s">
        <v>24</v>
      </c>
      <c r="C20" s="14">
        <v>1699520159</v>
      </c>
      <c r="D20" s="4" t="s">
        <v>23</v>
      </c>
      <c r="E20" s="3">
        <v>42222</v>
      </c>
      <c r="F20" s="11"/>
      <c r="G20" s="52" t="s">
        <v>120</v>
      </c>
      <c r="H20" s="65"/>
      <c r="I20" s="13"/>
      <c r="J20" s="42" t="s">
        <v>150</v>
      </c>
    </row>
    <row r="21" spans="1:10" ht="70" customHeight="1" x14ac:dyDescent="0.35">
      <c r="A21" s="9">
        <v>16</v>
      </c>
      <c r="B21" s="7" t="s">
        <v>27</v>
      </c>
      <c r="C21" s="14">
        <v>8146570018</v>
      </c>
      <c r="D21" s="4" t="s">
        <v>25</v>
      </c>
      <c r="E21" s="3">
        <v>42209</v>
      </c>
      <c r="F21" s="3">
        <v>44926</v>
      </c>
      <c r="G21" s="4" t="s">
        <v>121</v>
      </c>
      <c r="H21" s="61">
        <v>52500</v>
      </c>
      <c r="I21" s="13">
        <f>211565.08+70000+35000+35000+17500+52500</f>
        <v>421565.07999999996</v>
      </c>
      <c r="J21" s="42" t="s">
        <v>150</v>
      </c>
    </row>
    <row r="22" spans="1:10" ht="70" customHeight="1" x14ac:dyDescent="0.35">
      <c r="A22" s="9">
        <v>17</v>
      </c>
      <c r="B22" s="8" t="s">
        <v>29</v>
      </c>
      <c r="C22" s="15">
        <v>7583180968</v>
      </c>
      <c r="D22" s="4" t="s">
        <v>28</v>
      </c>
      <c r="E22" s="3">
        <v>42594</v>
      </c>
      <c r="F22" s="3">
        <v>42958</v>
      </c>
      <c r="G22" s="40" t="s">
        <v>124</v>
      </c>
      <c r="H22" s="60"/>
      <c r="I22" s="13">
        <f>80095.87+13938.22+89650.94+25065.6</f>
        <v>208750.63</v>
      </c>
      <c r="J22" s="1" t="s">
        <v>151</v>
      </c>
    </row>
    <row r="23" spans="1:10" ht="70" customHeight="1" x14ac:dyDescent="0.35">
      <c r="A23" s="9">
        <v>18</v>
      </c>
      <c r="B23" s="8" t="s">
        <v>117</v>
      </c>
      <c r="C23" s="15">
        <v>3301630962</v>
      </c>
      <c r="D23" s="4" t="s">
        <v>118</v>
      </c>
      <c r="E23" s="3">
        <v>42795</v>
      </c>
      <c r="F23" s="3">
        <v>42855</v>
      </c>
      <c r="G23" s="4" t="s">
        <v>119</v>
      </c>
      <c r="H23" s="61"/>
      <c r="I23" s="13">
        <f>48850.705+15666.08</f>
        <v>64516.785000000003</v>
      </c>
      <c r="J23" s="1" t="s">
        <v>151</v>
      </c>
    </row>
    <row r="24" spans="1:10" ht="70" customHeight="1" x14ac:dyDescent="0.35">
      <c r="A24" s="9">
        <v>19</v>
      </c>
      <c r="B24" s="8" t="s">
        <v>68</v>
      </c>
      <c r="C24" s="15">
        <v>3470730288</v>
      </c>
      <c r="D24" s="4" t="s">
        <v>30</v>
      </c>
      <c r="E24" s="3">
        <v>42629</v>
      </c>
      <c r="F24" s="3">
        <v>43723</v>
      </c>
      <c r="G24" s="51" t="s">
        <v>123</v>
      </c>
      <c r="H24" s="62">
        <f>6288.75+2000+250</f>
        <v>8538.75</v>
      </c>
      <c r="I24" s="13">
        <f>72590+6138.85+555+1192.5+2000+16000+480+1560+500+2000+384+730+1680+2000+250+2000+3840+5160+2000+16000+2000+1185+250+2000+6288.75+2000+250</f>
        <v>151034.1</v>
      </c>
      <c r="J24" s="42" t="s">
        <v>150</v>
      </c>
    </row>
    <row r="25" spans="1:10" ht="70" customHeight="1" x14ac:dyDescent="0.35">
      <c r="A25" s="9">
        <v>20</v>
      </c>
      <c r="B25" s="8" t="s">
        <v>39</v>
      </c>
      <c r="C25" s="15">
        <v>4794050585</v>
      </c>
      <c r="D25" s="4" t="s">
        <v>31</v>
      </c>
      <c r="E25" s="3">
        <v>42488</v>
      </c>
      <c r="F25" s="3">
        <v>42853</v>
      </c>
      <c r="G25" s="50" t="s">
        <v>122</v>
      </c>
      <c r="H25" s="62"/>
      <c r="I25" s="13">
        <v>59224.55</v>
      </c>
      <c r="J25" s="1" t="s">
        <v>151</v>
      </c>
    </row>
    <row r="26" spans="1:10" ht="70" customHeight="1" x14ac:dyDescent="0.35">
      <c r="A26" s="9">
        <v>21</v>
      </c>
      <c r="B26" s="8" t="s">
        <v>37</v>
      </c>
      <c r="C26" s="15">
        <v>9730271005</v>
      </c>
      <c r="D26" s="4" t="s">
        <v>32</v>
      </c>
      <c r="E26" s="3">
        <v>42209</v>
      </c>
      <c r="F26" s="12" t="s">
        <v>33</v>
      </c>
      <c r="G26" s="53" t="s">
        <v>250</v>
      </c>
      <c r="H26" s="61"/>
      <c r="I26" s="13">
        <f>45958.4+57448+48807.82+11489.7+54180+22517.21+72136.3+68937.6</f>
        <v>381475.03</v>
      </c>
      <c r="J26" s="42" t="s">
        <v>150</v>
      </c>
    </row>
    <row r="27" spans="1:10" ht="70" customHeight="1" x14ac:dyDescent="0.35">
      <c r="A27" s="9">
        <v>22</v>
      </c>
      <c r="B27" s="8" t="s">
        <v>36</v>
      </c>
      <c r="C27" s="15">
        <v>13366030156</v>
      </c>
      <c r="D27" s="4" t="s">
        <v>46</v>
      </c>
      <c r="E27" s="3">
        <v>43133</v>
      </c>
      <c r="F27" s="3">
        <v>43159</v>
      </c>
      <c r="G27" s="50" t="s">
        <v>34</v>
      </c>
      <c r="H27" s="66"/>
      <c r="I27" s="13">
        <f>17226.39+8423.59+4579.56+4334.8+2795.24+4570.04+3810.4+4670.61+3805.48+3923.32+4111</f>
        <v>62250.430000000008</v>
      </c>
      <c r="J27" s="1" t="s">
        <v>151</v>
      </c>
    </row>
    <row r="28" spans="1:10" ht="70" customHeight="1" x14ac:dyDescent="0.35">
      <c r="A28" s="9">
        <v>23</v>
      </c>
      <c r="B28" s="8" t="s">
        <v>36</v>
      </c>
      <c r="C28" s="15">
        <v>13366030156</v>
      </c>
      <c r="D28" s="4" t="s">
        <v>144</v>
      </c>
      <c r="E28" s="3">
        <v>42782</v>
      </c>
      <c r="F28" s="3">
        <v>43084</v>
      </c>
      <c r="G28" s="50" t="s">
        <v>45</v>
      </c>
      <c r="H28" s="62"/>
      <c r="I28" s="13">
        <f>19433.05+11000.39+5348.97+4819.96+3870.18+4494.64+5373.32+1688.71</f>
        <v>56029.219999999994</v>
      </c>
      <c r="J28" s="1" t="s">
        <v>154</v>
      </c>
    </row>
    <row r="29" spans="1:10" ht="70" customHeight="1" x14ac:dyDescent="0.35">
      <c r="A29" s="9">
        <v>24</v>
      </c>
      <c r="B29" s="8" t="s">
        <v>35</v>
      </c>
      <c r="C29" s="15">
        <v>830660155</v>
      </c>
      <c r="D29" s="4" t="s">
        <v>47</v>
      </c>
      <c r="E29" s="3">
        <v>43089</v>
      </c>
      <c r="F29" s="3">
        <v>43465</v>
      </c>
      <c r="G29" s="4" t="s">
        <v>38</v>
      </c>
      <c r="H29" s="61"/>
      <c r="I29" s="13"/>
      <c r="J29" s="1" t="s">
        <v>151</v>
      </c>
    </row>
    <row r="30" spans="1:10" ht="70" customHeight="1" x14ac:dyDescent="0.35">
      <c r="A30" s="9">
        <v>25</v>
      </c>
      <c r="B30" s="8" t="s">
        <v>42</v>
      </c>
      <c r="C30" s="15">
        <v>11274970158</v>
      </c>
      <c r="D30" s="4" t="s">
        <v>40</v>
      </c>
      <c r="E30" s="3">
        <v>42714</v>
      </c>
      <c r="F30" s="12" t="s">
        <v>160</v>
      </c>
      <c r="G30" s="4" t="s">
        <v>41</v>
      </c>
      <c r="H30" s="63"/>
      <c r="I30" s="23"/>
      <c r="J30" s="42" t="s">
        <v>150</v>
      </c>
    </row>
    <row r="31" spans="1:10" ht="70" customHeight="1" x14ac:dyDescent="0.35">
      <c r="A31" s="9">
        <v>26</v>
      </c>
      <c r="B31" s="8" t="s">
        <v>43</v>
      </c>
      <c r="C31" s="15"/>
      <c r="D31" s="4" t="s">
        <v>44</v>
      </c>
      <c r="E31" s="12">
        <v>42663</v>
      </c>
      <c r="F31" s="12" t="s">
        <v>70</v>
      </c>
      <c r="G31" s="45" t="s">
        <v>69</v>
      </c>
      <c r="H31" s="60">
        <v>3092.04</v>
      </c>
      <c r="I31" s="13">
        <f>3748.28+3092.04</f>
        <v>6840.32</v>
      </c>
      <c r="J31" s="42" t="s">
        <v>150</v>
      </c>
    </row>
    <row r="32" spans="1:10" ht="70" customHeight="1" x14ac:dyDescent="0.35">
      <c r="A32" s="9">
        <v>27</v>
      </c>
      <c r="B32" s="8" t="s">
        <v>48</v>
      </c>
      <c r="C32" s="16" t="s">
        <v>85</v>
      </c>
      <c r="D32" s="4" t="s">
        <v>49</v>
      </c>
      <c r="E32" s="12">
        <v>42782</v>
      </c>
      <c r="F32" s="12" t="s">
        <v>50</v>
      </c>
      <c r="G32" s="54" t="s">
        <v>51</v>
      </c>
      <c r="H32" s="61"/>
      <c r="I32" s="13"/>
      <c r="J32" s="42" t="s">
        <v>150</v>
      </c>
    </row>
    <row r="33" spans="1:10" ht="70" customHeight="1" x14ac:dyDescent="0.35">
      <c r="A33" s="9">
        <v>28</v>
      </c>
      <c r="B33" s="8" t="s">
        <v>57</v>
      </c>
      <c r="C33" s="15">
        <v>97081660157</v>
      </c>
      <c r="D33" s="4" t="s">
        <v>56</v>
      </c>
      <c r="E33" s="12">
        <v>42338</v>
      </c>
      <c r="F33" s="12" t="s">
        <v>238</v>
      </c>
      <c r="G33" s="55" t="s">
        <v>71</v>
      </c>
      <c r="H33" s="60"/>
      <c r="I33" s="13">
        <f>9871.02+1645.17+1348.5+1348.5+1348.5+1348.5+1348.5</f>
        <v>18258.690000000002</v>
      </c>
      <c r="J33" s="42" t="s">
        <v>150</v>
      </c>
    </row>
    <row r="34" spans="1:10" ht="70" customHeight="1" x14ac:dyDescent="0.35">
      <c r="A34" s="9">
        <v>29</v>
      </c>
      <c r="B34" s="8" t="s">
        <v>58</v>
      </c>
      <c r="C34" s="16" t="s">
        <v>86</v>
      </c>
      <c r="D34" s="4" t="s">
        <v>59</v>
      </c>
      <c r="E34" s="12">
        <v>42772</v>
      </c>
      <c r="F34" s="12">
        <v>43927</v>
      </c>
      <c r="G34" s="56" t="s">
        <v>72</v>
      </c>
      <c r="H34" s="60"/>
      <c r="I34" s="13">
        <f>5264.67+10529.34+5264.67+4315.3+4315.3+4315.3+4315.3+4315.3+4315.3+4315.3+4315.3+4315.3+4315.3+4315.3+4315.3+4315.3+4315.3+4315.3+4315.3+4315.3</f>
        <v>94418.780000000042</v>
      </c>
      <c r="J34" s="42" t="s">
        <v>150</v>
      </c>
    </row>
    <row r="35" spans="1:10" ht="70" customHeight="1" x14ac:dyDescent="0.35">
      <c r="A35" s="9">
        <v>30</v>
      </c>
      <c r="B35" s="8" t="s">
        <v>61</v>
      </c>
      <c r="C35" s="15">
        <v>7739320963</v>
      </c>
      <c r="D35" s="4" t="s">
        <v>60</v>
      </c>
      <c r="E35" s="12">
        <v>42383</v>
      </c>
      <c r="F35" s="12">
        <v>43113</v>
      </c>
      <c r="G35" s="56" t="s">
        <v>73</v>
      </c>
      <c r="H35" s="60"/>
      <c r="I35" s="13">
        <f>22999.95+3066.66+1533.33+1533.33+1533.33+1533.33+1533.33+1533.33</f>
        <v>35266.590000000011</v>
      </c>
      <c r="J35" s="1" t="s">
        <v>151</v>
      </c>
    </row>
    <row r="36" spans="1:10" ht="70" customHeight="1" x14ac:dyDescent="0.35">
      <c r="A36" s="9">
        <v>31</v>
      </c>
      <c r="B36" s="8" t="s">
        <v>74</v>
      </c>
      <c r="C36" s="16" t="s">
        <v>176</v>
      </c>
      <c r="D36" s="4" t="s">
        <v>76</v>
      </c>
      <c r="E36" s="12">
        <v>42129</v>
      </c>
      <c r="F36" s="12" t="s">
        <v>75</v>
      </c>
      <c r="G36" s="45" t="s">
        <v>77</v>
      </c>
      <c r="H36" s="60"/>
      <c r="I36" s="13">
        <f>166496.65+393838.44+41839.49+49546.07</f>
        <v>651720.64999999991</v>
      </c>
      <c r="J36" s="1" t="s">
        <v>225</v>
      </c>
    </row>
    <row r="37" spans="1:10" ht="70" customHeight="1" x14ac:dyDescent="0.35">
      <c r="A37" s="9">
        <v>32</v>
      </c>
      <c r="B37" s="8" t="s">
        <v>78</v>
      </c>
      <c r="C37" s="15">
        <v>10527000151</v>
      </c>
      <c r="D37" s="4" t="s">
        <v>79</v>
      </c>
      <c r="E37" s="12">
        <v>42272</v>
      </c>
      <c r="F37" s="12" t="s">
        <v>81</v>
      </c>
      <c r="G37" s="45" t="s">
        <v>80</v>
      </c>
      <c r="H37" s="60"/>
      <c r="I37" s="13">
        <f>20015.13+6930</f>
        <v>26945.13</v>
      </c>
      <c r="J37" s="1" t="s">
        <v>151</v>
      </c>
    </row>
    <row r="38" spans="1:10" ht="70" customHeight="1" x14ac:dyDescent="0.35">
      <c r="A38" s="9">
        <v>33</v>
      </c>
      <c r="B38" s="8" t="s">
        <v>88</v>
      </c>
      <c r="C38" s="16" t="s">
        <v>91</v>
      </c>
      <c r="D38" s="4" t="s">
        <v>94</v>
      </c>
      <c r="E38" s="12">
        <v>42795</v>
      </c>
      <c r="F38" s="12" t="s">
        <v>97</v>
      </c>
      <c r="G38" s="56">
        <f>14000+14000*15%+14000*4%</f>
        <v>16660</v>
      </c>
      <c r="H38" s="60"/>
      <c r="I38" s="13">
        <f>13524+1449</f>
        <v>14973</v>
      </c>
      <c r="J38" s="1" t="s">
        <v>151</v>
      </c>
    </row>
    <row r="39" spans="1:10" ht="87" x14ac:dyDescent="0.35">
      <c r="A39" s="9">
        <v>34</v>
      </c>
      <c r="B39" s="8" t="s">
        <v>89</v>
      </c>
      <c r="C39" s="16" t="s">
        <v>92</v>
      </c>
      <c r="D39" s="4" t="s">
        <v>95</v>
      </c>
      <c r="E39" s="12">
        <v>42825</v>
      </c>
      <c r="F39" s="12" t="s">
        <v>98</v>
      </c>
      <c r="G39" s="13" t="s">
        <v>99</v>
      </c>
      <c r="H39" s="60"/>
      <c r="I39" s="13">
        <f>1777.54+750+600+600+1000+750+449+400</f>
        <v>6326.54</v>
      </c>
      <c r="J39" s="42" t="s">
        <v>150</v>
      </c>
    </row>
    <row r="40" spans="1:10" ht="70" customHeight="1" x14ac:dyDescent="0.35">
      <c r="A40" s="9">
        <v>35</v>
      </c>
      <c r="B40" s="8" t="s">
        <v>90</v>
      </c>
      <c r="C40" s="16" t="s">
        <v>93</v>
      </c>
      <c r="D40" s="4" t="s">
        <v>96</v>
      </c>
      <c r="E40" s="12">
        <v>42851</v>
      </c>
      <c r="F40" s="12" t="s">
        <v>100</v>
      </c>
      <c r="G40" s="56" t="s">
        <v>101</v>
      </c>
      <c r="H40" s="60"/>
      <c r="I40" s="13">
        <f>9109.74+10500+10500+10500+10500+10500</f>
        <v>61609.74</v>
      </c>
      <c r="J40" s="42" t="s">
        <v>150</v>
      </c>
    </row>
    <row r="41" spans="1:10" ht="70" customHeight="1" x14ac:dyDescent="0.35">
      <c r="A41" s="9">
        <v>36</v>
      </c>
      <c r="B41" s="24" t="s">
        <v>102</v>
      </c>
      <c r="C41" s="25">
        <v>13325521006</v>
      </c>
      <c r="D41" s="4" t="s">
        <v>155</v>
      </c>
      <c r="E41" s="26">
        <v>42866</v>
      </c>
      <c r="F41" s="26" t="s">
        <v>103</v>
      </c>
      <c r="G41" s="57" t="s">
        <v>156</v>
      </c>
      <c r="H41" s="60"/>
      <c r="I41" s="13">
        <v>25740</v>
      </c>
      <c r="J41" s="42" t="s">
        <v>150</v>
      </c>
    </row>
    <row r="42" spans="1:10" ht="87" x14ac:dyDescent="0.35">
      <c r="A42" s="9">
        <v>37</v>
      </c>
      <c r="B42" s="8" t="s">
        <v>83</v>
      </c>
      <c r="C42" s="14">
        <v>1742310152</v>
      </c>
      <c r="D42" s="4" t="s">
        <v>22</v>
      </c>
      <c r="E42" s="27">
        <v>42881</v>
      </c>
      <c r="F42" s="12" t="s">
        <v>209</v>
      </c>
      <c r="G42" s="69" t="s">
        <v>210</v>
      </c>
      <c r="H42" s="60">
        <f>228869.57+114434.78+114434.78</f>
        <v>457739.13</v>
      </c>
      <c r="I42" s="13">
        <f>915478.24+457739.12+228869.57+114434.78+114434.75</f>
        <v>1830956.46</v>
      </c>
      <c r="J42" s="1" t="s">
        <v>151</v>
      </c>
    </row>
    <row r="43" spans="1:10" ht="70" customHeight="1" x14ac:dyDescent="0.35">
      <c r="A43" s="9">
        <v>38</v>
      </c>
      <c r="B43" s="8" t="s">
        <v>104</v>
      </c>
      <c r="C43" s="16">
        <v>10495590159</v>
      </c>
      <c r="D43" s="4" t="s">
        <v>105</v>
      </c>
      <c r="E43" s="12">
        <v>42914</v>
      </c>
      <c r="F43" s="12" t="s">
        <v>106</v>
      </c>
      <c r="G43" s="58">
        <v>240</v>
      </c>
      <c r="H43" s="60"/>
      <c r="I43" s="13">
        <f>120+240</f>
        <v>360</v>
      </c>
      <c r="J43" s="42" t="s">
        <v>150</v>
      </c>
    </row>
    <row r="44" spans="1:10" ht="70" customHeight="1" x14ac:dyDescent="0.35">
      <c r="A44" s="9">
        <v>39</v>
      </c>
      <c r="B44" s="8" t="s">
        <v>83</v>
      </c>
      <c r="C44" s="28" t="s">
        <v>107</v>
      </c>
      <c r="D44" s="4" t="s">
        <v>108</v>
      </c>
      <c r="E44" s="27">
        <v>42956</v>
      </c>
      <c r="F44" s="12" t="s">
        <v>109</v>
      </c>
      <c r="G44" s="32" t="s">
        <v>110</v>
      </c>
      <c r="H44" s="60">
        <v>1849690.6</v>
      </c>
      <c r="I44" s="13">
        <f>1077740.69+1849690.6</f>
        <v>2927431.29</v>
      </c>
      <c r="J44" s="42" t="s">
        <v>150</v>
      </c>
    </row>
    <row r="45" spans="1:10" ht="70" customHeight="1" x14ac:dyDescent="0.35">
      <c r="A45" s="9">
        <v>40</v>
      </c>
      <c r="B45" s="8" t="s">
        <v>129</v>
      </c>
      <c r="C45" s="16">
        <v>3380410104</v>
      </c>
      <c r="D45" s="4" t="s">
        <v>130</v>
      </c>
      <c r="E45" s="12">
        <v>42923</v>
      </c>
      <c r="F45" s="12" t="s">
        <v>115</v>
      </c>
      <c r="G45" s="13" t="s">
        <v>247</v>
      </c>
      <c r="H45" s="60">
        <v>2575</v>
      </c>
      <c r="I45" s="13">
        <f>2575+2575+12800+2575+2575+2575+2575</f>
        <v>28250</v>
      </c>
      <c r="J45" s="42" t="s">
        <v>150</v>
      </c>
    </row>
    <row r="46" spans="1:10" ht="70" customHeight="1" x14ac:dyDescent="0.35">
      <c r="A46" s="9">
        <v>41</v>
      </c>
      <c r="B46" s="8" t="s">
        <v>112</v>
      </c>
      <c r="C46" s="28" t="s">
        <v>113</v>
      </c>
      <c r="D46" s="4" t="s">
        <v>114</v>
      </c>
      <c r="E46" s="12">
        <v>42900</v>
      </c>
      <c r="F46" s="12" t="s">
        <v>115</v>
      </c>
      <c r="G46" s="32" t="s">
        <v>116</v>
      </c>
      <c r="H46" s="33">
        <v>3125</v>
      </c>
      <c r="I46" s="33">
        <f>3125+3125+3141+1041.67+3125+3125+3125+3125+3125</f>
        <v>26057.67</v>
      </c>
      <c r="J46" s="42" t="s">
        <v>150</v>
      </c>
    </row>
    <row r="47" spans="1:10" ht="80.25" customHeight="1" x14ac:dyDescent="0.35">
      <c r="A47" s="9">
        <v>42</v>
      </c>
      <c r="B47" s="8" t="s">
        <v>117</v>
      </c>
      <c r="C47" s="15">
        <v>3301630962</v>
      </c>
      <c r="D47" s="31" t="s">
        <v>118</v>
      </c>
      <c r="E47" s="12">
        <v>43005</v>
      </c>
      <c r="F47" s="12" t="s">
        <v>115</v>
      </c>
      <c r="G47" s="32" t="s">
        <v>131</v>
      </c>
      <c r="H47" s="33"/>
      <c r="I47" s="13">
        <f>9832.14+9544.5+12144.24+12144.22</f>
        <v>43665.1</v>
      </c>
      <c r="J47" s="42" t="s">
        <v>150</v>
      </c>
    </row>
    <row r="48" spans="1:10" ht="80.25" customHeight="1" x14ac:dyDescent="0.35">
      <c r="A48" s="9">
        <v>43</v>
      </c>
      <c r="B48" s="8" t="s">
        <v>132</v>
      </c>
      <c r="C48" s="28" t="s">
        <v>133</v>
      </c>
      <c r="D48" s="4" t="s">
        <v>134</v>
      </c>
      <c r="E48" s="27">
        <v>43020</v>
      </c>
      <c r="F48" s="12" t="s">
        <v>135</v>
      </c>
      <c r="G48" s="32" t="s">
        <v>136</v>
      </c>
      <c r="H48" s="33">
        <f>495+495</f>
        <v>990</v>
      </c>
      <c r="I48" s="33">
        <f>335.33+495+495+495+495+495+495+495+495+495+495+495+495+495</f>
        <v>6770.33</v>
      </c>
      <c r="J48" s="42" t="s">
        <v>150</v>
      </c>
    </row>
    <row r="49" spans="1:10" ht="80.25" customHeight="1" x14ac:dyDescent="0.35">
      <c r="A49" s="9">
        <v>44</v>
      </c>
      <c r="B49" s="8" t="s">
        <v>129</v>
      </c>
      <c r="C49" s="28">
        <v>3380410104</v>
      </c>
      <c r="D49" s="34" t="s">
        <v>137</v>
      </c>
      <c r="E49" s="36">
        <v>43013</v>
      </c>
      <c r="F49" s="35" t="s">
        <v>115</v>
      </c>
      <c r="G49" s="37" t="s">
        <v>138</v>
      </c>
      <c r="H49" s="33">
        <v>6000</v>
      </c>
      <c r="I49" s="74">
        <f>10000+6000+6000</f>
        <v>22000</v>
      </c>
      <c r="J49" s="42" t="s">
        <v>150</v>
      </c>
    </row>
    <row r="50" spans="1:10" ht="80.25" customHeight="1" x14ac:dyDescent="0.35">
      <c r="A50" s="9">
        <v>45</v>
      </c>
      <c r="B50" s="8" t="s">
        <v>139</v>
      </c>
      <c r="C50" s="28" t="s">
        <v>140</v>
      </c>
      <c r="D50" s="4" t="s">
        <v>143</v>
      </c>
      <c r="E50" s="36">
        <v>43033</v>
      </c>
      <c r="F50" s="35" t="s">
        <v>141</v>
      </c>
      <c r="G50" s="32" t="s">
        <v>142</v>
      </c>
      <c r="H50" s="33">
        <f>440+440</f>
        <v>880</v>
      </c>
      <c r="I50" s="33">
        <f>482.58+440+440+440+20+440+440+440+440+440+440+440+440+440+440</f>
        <v>6222.58</v>
      </c>
      <c r="J50" s="42" t="s">
        <v>150</v>
      </c>
    </row>
    <row r="51" spans="1:10" ht="80.25" customHeight="1" x14ac:dyDescent="0.35">
      <c r="A51" s="9">
        <v>46</v>
      </c>
      <c r="B51" s="8" t="s">
        <v>145</v>
      </c>
      <c r="C51" s="28" t="s">
        <v>146</v>
      </c>
      <c r="D51" s="4" t="s">
        <v>147</v>
      </c>
      <c r="E51" s="36">
        <v>43047</v>
      </c>
      <c r="F51" s="12" t="s">
        <v>148</v>
      </c>
      <c r="G51" s="38" t="s">
        <v>149</v>
      </c>
      <c r="H51" s="33"/>
      <c r="I51" s="33">
        <v>5040</v>
      </c>
      <c r="J51" s="1" t="s">
        <v>151</v>
      </c>
    </row>
    <row r="52" spans="1:10" ht="80.25" customHeight="1" x14ac:dyDescent="0.35">
      <c r="A52" s="9">
        <v>47</v>
      </c>
      <c r="B52" s="8" t="s">
        <v>29</v>
      </c>
      <c r="C52" s="15">
        <v>7583180968</v>
      </c>
      <c r="D52" s="34" t="s">
        <v>28</v>
      </c>
      <c r="E52" s="39">
        <v>43011</v>
      </c>
      <c r="F52" s="39">
        <v>43151</v>
      </c>
      <c r="G52" s="40" t="s">
        <v>152</v>
      </c>
      <c r="H52" s="33"/>
      <c r="I52" s="1"/>
      <c r="J52" s="1" t="s">
        <v>151</v>
      </c>
    </row>
    <row r="53" spans="1:10" ht="80.25" customHeight="1" x14ac:dyDescent="0.35">
      <c r="A53" s="9">
        <v>48</v>
      </c>
      <c r="B53" s="8" t="s">
        <v>117</v>
      </c>
      <c r="C53" s="15">
        <v>3301630962</v>
      </c>
      <c r="D53" s="31" t="s">
        <v>166</v>
      </c>
      <c r="E53" s="12">
        <v>43056</v>
      </c>
      <c r="F53" s="12"/>
      <c r="G53" s="32" t="s">
        <v>186</v>
      </c>
      <c r="H53" s="33"/>
      <c r="I53" s="33">
        <f>6720+2520</f>
        <v>9240</v>
      </c>
      <c r="J53" s="1" t="s">
        <v>151</v>
      </c>
    </row>
    <row r="54" spans="1:10" ht="80.25" customHeight="1" x14ac:dyDescent="0.35">
      <c r="A54" s="9">
        <v>49</v>
      </c>
      <c r="B54" s="8" t="s">
        <v>157</v>
      </c>
      <c r="C54" s="16" t="s">
        <v>158</v>
      </c>
      <c r="D54" s="4" t="s">
        <v>159</v>
      </c>
      <c r="E54" s="39">
        <v>43066</v>
      </c>
      <c r="F54" s="39">
        <v>44162</v>
      </c>
      <c r="G54" s="46">
        <v>105384</v>
      </c>
      <c r="H54" s="33"/>
      <c r="I54" s="33">
        <f>9660.2+9660.2+14490.3+14490.3+9660.2+9660.2</f>
        <v>67621.399999999994</v>
      </c>
      <c r="J54" s="42" t="s">
        <v>150</v>
      </c>
    </row>
    <row r="55" spans="1:10" ht="116" x14ac:dyDescent="0.35">
      <c r="A55" s="9">
        <v>50</v>
      </c>
      <c r="B55" s="8" t="s">
        <v>167</v>
      </c>
      <c r="C55" s="16" t="s">
        <v>168</v>
      </c>
      <c r="D55" s="4" t="s">
        <v>60</v>
      </c>
      <c r="E55" s="12" t="s">
        <v>232</v>
      </c>
      <c r="F55" s="12" t="s">
        <v>233</v>
      </c>
      <c r="G55" s="72" t="s">
        <v>244</v>
      </c>
      <c r="H55" s="33"/>
      <c r="I55" s="33">
        <f>557.6+1533.33+1533.33+1533.33+1533.33+1533.33+1533.33+1000+2750+3300+3300</f>
        <v>20107.580000000002</v>
      </c>
      <c r="J55" s="1" t="s">
        <v>151</v>
      </c>
    </row>
    <row r="56" spans="1:10" ht="80.25" customHeight="1" x14ac:dyDescent="0.35">
      <c r="A56" s="9">
        <v>51</v>
      </c>
      <c r="B56" s="8" t="s">
        <v>169</v>
      </c>
      <c r="C56" s="16" t="s">
        <v>170</v>
      </c>
      <c r="D56" s="4" t="s">
        <v>171</v>
      </c>
      <c r="E56" s="39">
        <v>43118</v>
      </c>
      <c r="F56" s="12" t="s">
        <v>172</v>
      </c>
      <c r="G56" s="44" t="s">
        <v>173</v>
      </c>
      <c r="H56" s="33">
        <v>16005.28</v>
      </c>
      <c r="I56" s="33">
        <f>12579+4200+16005.28+16005.28+16005.28</f>
        <v>64794.84</v>
      </c>
      <c r="J56" s="42" t="s">
        <v>150</v>
      </c>
    </row>
    <row r="57" spans="1:10" ht="80.25" customHeight="1" x14ac:dyDescent="0.35">
      <c r="A57" s="9">
        <v>52</v>
      </c>
      <c r="B57" s="8" t="s">
        <v>74</v>
      </c>
      <c r="C57" s="16" t="s">
        <v>176</v>
      </c>
      <c r="D57" s="4" t="s">
        <v>175</v>
      </c>
      <c r="E57" s="12">
        <v>43140</v>
      </c>
      <c r="F57" s="12" t="s">
        <v>75</v>
      </c>
      <c r="G57" s="45" t="s">
        <v>174</v>
      </c>
      <c r="H57" s="60">
        <v>7779.24</v>
      </c>
      <c r="I57" s="13">
        <f>10424.57+8215.37+7979.24+7779.24</f>
        <v>34398.42</v>
      </c>
      <c r="J57" s="42" t="s">
        <v>150</v>
      </c>
    </row>
    <row r="58" spans="1:10" ht="80.25" customHeight="1" x14ac:dyDescent="0.35">
      <c r="A58" s="9">
        <v>53</v>
      </c>
      <c r="B58" s="8" t="s">
        <v>222</v>
      </c>
      <c r="C58" s="16" t="s">
        <v>179</v>
      </c>
      <c r="D58" s="4" t="s">
        <v>180</v>
      </c>
      <c r="E58" s="12">
        <v>43144</v>
      </c>
      <c r="F58" s="12" t="s">
        <v>181</v>
      </c>
      <c r="G58" s="46">
        <v>27000</v>
      </c>
      <c r="H58" s="67">
        <v>8100</v>
      </c>
      <c r="I58" s="13">
        <f>18900+8100</f>
        <v>27000</v>
      </c>
      <c r="J58" s="1" t="s">
        <v>151</v>
      </c>
    </row>
    <row r="59" spans="1:10" ht="80.25" customHeight="1" x14ac:dyDescent="0.35">
      <c r="A59" s="9">
        <v>54</v>
      </c>
      <c r="B59" s="8" t="s">
        <v>182</v>
      </c>
      <c r="C59" s="16">
        <v>7931520964</v>
      </c>
      <c r="D59" s="4" t="s">
        <v>183</v>
      </c>
      <c r="E59" s="12">
        <v>43069</v>
      </c>
      <c r="F59" s="12" t="s">
        <v>184</v>
      </c>
      <c r="G59" s="47" t="s">
        <v>185</v>
      </c>
      <c r="H59" s="67">
        <v>56095.5</v>
      </c>
      <c r="I59" s="13">
        <v>56095.5</v>
      </c>
      <c r="J59" s="1" t="s">
        <v>151</v>
      </c>
    </row>
    <row r="60" spans="1:10" ht="80.25" customHeight="1" x14ac:dyDescent="0.35">
      <c r="A60" s="9">
        <v>55</v>
      </c>
      <c r="B60" s="8" t="s">
        <v>187</v>
      </c>
      <c r="C60" s="16" t="s">
        <v>188</v>
      </c>
      <c r="D60" s="4" t="s">
        <v>189</v>
      </c>
      <c r="E60" s="12">
        <v>43083</v>
      </c>
      <c r="F60" s="12" t="s">
        <v>190</v>
      </c>
      <c r="G60" s="13" t="s">
        <v>191</v>
      </c>
      <c r="H60" s="67">
        <v>3200</v>
      </c>
      <c r="I60" s="13">
        <v>3200</v>
      </c>
      <c r="J60" s="1" t="s">
        <v>151</v>
      </c>
    </row>
    <row r="61" spans="1:10" ht="80.25" customHeight="1" x14ac:dyDescent="0.35">
      <c r="A61" s="9">
        <v>56</v>
      </c>
      <c r="B61" s="8" t="s">
        <v>275</v>
      </c>
      <c r="C61" s="16" t="s">
        <v>195</v>
      </c>
      <c r="D61" s="4" t="s">
        <v>192</v>
      </c>
      <c r="E61" s="12">
        <v>43090</v>
      </c>
      <c r="F61" s="12" t="s">
        <v>193</v>
      </c>
      <c r="G61" s="13" t="s">
        <v>194</v>
      </c>
      <c r="H61" s="67"/>
      <c r="I61" s="13">
        <v>9660</v>
      </c>
      <c r="J61" s="1" t="s">
        <v>151</v>
      </c>
    </row>
    <row r="62" spans="1:10" ht="116" x14ac:dyDescent="0.35">
      <c r="A62" s="9">
        <v>57</v>
      </c>
      <c r="B62" s="8" t="s">
        <v>196</v>
      </c>
      <c r="C62" s="16">
        <v>12883390150</v>
      </c>
      <c r="D62" s="4" t="s">
        <v>197</v>
      </c>
      <c r="E62" s="12">
        <v>43179</v>
      </c>
      <c r="F62" s="12" t="s">
        <v>198</v>
      </c>
      <c r="G62" s="48" t="s">
        <v>199</v>
      </c>
      <c r="H62" s="67"/>
      <c r="I62" s="67">
        <f>15000+29700</f>
        <v>44700</v>
      </c>
      <c r="J62" s="42" t="s">
        <v>150</v>
      </c>
    </row>
    <row r="63" spans="1:10" ht="80.25" customHeight="1" x14ac:dyDescent="0.35">
      <c r="A63" s="9">
        <v>58</v>
      </c>
      <c r="B63" s="8" t="s">
        <v>200</v>
      </c>
      <c r="C63" s="16" t="s">
        <v>201</v>
      </c>
      <c r="D63" s="4" t="s">
        <v>202</v>
      </c>
      <c r="E63" s="12">
        <v>43202</v>
      </c>
      <c r="F63" s="12" t="s">
        <v>203</v>
      </c>
      <c r="G63" s="48" t="s">
        <v>204</v>
      </c>
      <c r="H63" s="67"/>
      <c r="I63" s="13">
        <f>4420+4420</f>
        <v>8840</v>
      </c>
      <c r="J63" s="1" t="s">
        <v>151</v>
      </c>
    </row>
    <row r="64" spans="1:10" ht="80.25" customHeight="1" x14ac:dyDescent="0.35">
      <c r="A64" s="9">
        <v>59</v>
      </c>
      <c r="B64" s="8" t="s">
        <v>29</v>
      </c>
      <c r="C64" s="15">
        <v>7583180968</v>
      </c>
      <c r="D64" s="34" t="s">
        <v>28</v>
      </c>
      <c r="E64" s="39">
        <v>43223</v>
      </c>
      <c r="F64" s="3" t="s">
        <v>205</v>
      </c>
      <c r="G64" s="78" t="s">
        <v>206</v>
      </c>
      <c r="H64" s="67"/>
      <c r="I64" s="74">
        <v>48679.56</v>
      </c>
      <c r="J64" s="42" t="s">
        <v>150</v>
      </c>
    </row>
    <row r="65" spans="1:10" ht="80.25" customHeight="1" x14ac:dyDescent="0.35">
      <c r="A65" s="9">
        <v>60</v>
      </c>
      <c r="B65" s="49" t="s">
        <v>129</v>
      </c>
      <c r="C65" s="16">
        <v>3380410104</v>
      </c>
      <c r="D65" s="4" t="s">
        <v>207</v>
      </c>
      <c r="E65" s="35">
        <v>43257</v>
      </c>
      <c r="F65" s="12" t="s">
        <v>208</v>
      </c>
      <c r="G65" s="77" t="s">
        <v>248</v>
      </c>
      <c r="H65" s="33">
        <v>5000</v>
      </c>
      <c r="I65" s="74">
        <f>5000+15000+5000+5000</f>
        <v>30000</v>
      </c>
      <c r="J65" s="42" t="s">
        <v>150</v>
      </c>
    </row>
    <row r="66" spans="1:10" ht="80.25" customHeight="1" x14ac:dyDescent="0.35">
      <c r="A66" s="9">
        <v>61</v>
      </c>
      <c r="B66" s="8" t="s">
        <v>222</v>
      </c>
      <c r="C66" s="16" t="s">
        <v>179</v>
      </c>
      <c r="D66" s="4" t="s">
        <v>212</v>
      </c>
      <c r="E66" s="12">
        <v>43257</v>
      </c>
      <c r="F66" s="12" t="s">
        <v>213</v>
      </c>
      <c r="G66" s="46">
        <v>13000</v>
      </c>
      <c r="H66" s="67"/>
      <c r="I66" s="13">
        <f>5200+7800</f>
        <v>13000</v>
      </c>
      <c r="J66" s="1" t="s">
        <v>151</v>
      </c>
    </row>
    <row r="67" spans="1:10" ht="72.5" x14ac:dyDescent="0.35">
      <c r="A67" s="9">
        <v>62</v>
      </c>
      <c r="B67" s="8" t="s">
        <v>214</v>
      </c>
      <c r="C67" s="28" t="s">
        <v>215</v>
      </c>
      <c r="D67" s="4" t="s">
        <v>216</v>
      </c>
      <c r="E67" s="36">
        <v>43283</v>
      </c>
      <c r="F67" s="12" t="s">
        <v>217</v>
      </c>
      <c r="G67" s="69" t="s">
        <v>218</v>
      </c>
      <c r="H67" s="67">
        <f>4809.17+65898.18+20361+4179.93</f>
        <v>95248.28</v>
      </c>
      <c r="I67" s="67">
        <f>9618.34+40721.99+8359.85+40721.99+9618.34+8359.85+4809.17+65898.18+20361+4179.93</f>
        <v>212648.63999999998</v>
      </c>
      <c r="J67" s="42" t="s">
        <v>150</v>
      </c>
    </row>
    <row r="68" spans="1:10" ht="95.25" customHeight="1" x14ac:dyDescent="0.35">
      <c r="A68" s="9">
        <v>63</v>
      </c>
      <c r="B68" s="8" t="s">
        <v>219</v>
      </c>
      <c r="C68" s="28" t="s">
        <v>220</v>
      </c>
      <c r="D68" s="4" t="s">
        <v>221</v>
      </c>
      <c r="E68" s="36">
        <v>43276</v>
      </c>
      <c r="F68" s="12" t="s">
        <v>245</v>
      </c>
      <c r="G68" s="69">
        <f>138149.13+11800</f>
        <v>149949.13</v>
      </c>
      <c r="H68" s="67"/>
      <c r="I68" s="13">
        <f>27491.68+110657.45+11800</f>
        <v>149949.13</v>
      </c>
      <c r="J68" s="1" t="s">
        <v>151</v>
      </c>
    </row>
    <row r="69" spans="1:10" ht="80.25" customHeight="1" x14ac:dyDescent="0.35">
      <c r="A69" s="9">
        <v>64</v>
      </c>
      <c r="B69" s="8" t="s">
        <v>117</v>
      </c>
      <c r="C69" s="15">
        <v>3301630962</v>
      </c>
      <c r="D69" s="70" t="s">
        <v>223</v>
      </c>
      <c r="E69" s="35">
        <v>43312</v>
      </c>
      <c r="F69" s="71"/>
      <c r="G69" s="56" t="s">
        <v>224</v>
      </c>
      <c r="H69" s="33"/>
      <c r="I69" s="13">
        <v>3206.4</v>
      </c>
      <c r="J69" s="1" t="s">
        <v>151</v>
      </c>
    </row>
    <row r="70" spans="1:10" ht="80.25" customHeight="1" x14ac:dyDescent="0.35">
      <c r="A70" s="9">
        <v>65</v>
      </c>
      <c r="B70" s="8" t="s">
        <v>226</v>
      </c>
      <c r="C70" s="16" t="s">
        <v>227</v>
      </c>
      <c r="D70" s="31" t="s">
        <v>228</v>
      </c>
      <c r="E70" s="35">
        <v>43369</v>
      </c>
      <c r="F70" s="73" t="s">
        <v>230</v>
      </c>
      <c r="G70" s="13" t="s">
        <v>229</v>
      </c>
      <c r="H70" s="33">
        <v>7500</v>
      </c>
      <c r="I70" s="13">
        <f>8400+8400+7500</f>
        <v>24300</v>
      </c>
      <c r="J70" s="42" t="s">
        <v>150</v>
      </c>
    </row>
    <row r="71" spans="1:10" ht="80.25" customHeight="1" x14ac:dyDescent="0.35">
      <c r="A71" s="9">
        <v>66</v>
      </c>
      <c r="B71" s="8" t="s">
        <v>240</v>
      </c>
      <c r="C71" s="16" t="s">
        <v>241</v>
      </c>
      <c r="D71" s="4" t="s">
        <v>239</v>
      </c>
      <c r="E71" s="12">
        <v>43347</v>
      </c>
      <c r="F71" s="12" t="s">
        <v>243</v>
      </c>
      <c r="G71" s="76" t="s">
        <v>242</v>
      </c>
      <c r="H71" s="60">
        <f>750+660</f>
        <v>1410</v>
      </c>
      <c r="I71" s="13">
        <f>26.38+130.09+535.33+660+660</f>
        <v>2011.8000000000002</v>
      </c>
      <c r="J71" s="42" t="s">
        <v>150</v>
      </c>
    </row>
    <row r="72" spans="1:10" ht="80.25" customHeight="1" x14ac:dyDescent="0.35">
      <c r="A72" s="9">
        <v>67</v>
      </c>
      <c r="B72" s="8" t="s">
        <v>231</v>
      </c>
      <c r="C72" s="16">
        <v>10157530964</v>
      </c>
      <c r="D72" s="4" t="s">
        <v>60</v>
      </c>
      <c r="E72" s="12">
        <v>43409</v>
      </c>
      <c r="F72" s="3" t="s">
        <v>279</v>
      </c>
      <c r="G72" s="72">
        <v>19400</v>
      </c>
      <c r="H72" s="33">
        <f>1617+1617</f>
        <v>3234</v>
      </c>
      <c r="I72" s="33">
        <f>1617+1617+1617+1617</f>
        <v>6468</v>
      </c>
      <c r="J72" s="1" t="s">
        <v>150</v>
      </c>
    </row>
    <row r="73" spans="1:10" ht="60.75" customHeight="1" x14ac:dyDescent="0.35">
      <c r="A73" s="9">
        <v>68</v>
      </c>
      <c r="B73" s="8" t="s">
        <v>234</v>
      </c>
      <c r="C73" s="15"/>
      <c r="D73" s="4" t="s">
        <v>235</v>
      </c>
      <c r="E73" s="35">
        <v>43424</v>
      </c>
      <c r="F73" s="12" t="s">
        <v>236</v>
      </c>
      <c r="G73" s="75" t="s">
        <v>237</v>
      </c>
      <c r="H73" s="33"/>
      <c r="I73" s="33"/>
      <c r="J73" s="1" t="s">
        <v>150</v>
      </c>
    </row>
    <row r="74" spans="1:10" ht="80.25" customHeight="1" x14ac:dyDescent="0.35">
      <c r="A74" s="9">
        <v>69</v>
      </c>
      <c r="B74" s="8" t="s">
        <v>35</v>
      </c>
      <c r="C74" s="15">
        <v>830660155</v>
      </c>
      <c r="D74" s="4" t="s">
        <v>47</v>
      </c>
      <c r="E74" s="3">
        <v>43447</v>
      </c>
      <c r="F74" s="3" t="s">
        <v>246</v>
      </c>
      <c r="G74" s="4" t="s">
        <v>38</v>
      </c>
      <c r="H74" s="61"/>
      <c r="I74" s="13"/>
      <c r="J74" s="42" t="s">
        <v>150</v>
      </c>
    </row>
    <row r="75" spans="1:10" ht="80.25" customHeight="1" x14ac:dyDescent="0.35">
      <c r="A75" s="9">
        <v>70</v>
      </c>
      <c r="B75" s="8" t="s">
        <v>251</v>
      </c>
      <c r="C75" s="15"/>
      <c r="D75" s="4" t="s">
        <v>252</v>
      </c>
      <c r="E75" s="35">
        <v>43474</v>
      </c>
      <c r="F75" s="54" t="s">
        <v>253</v>
      </c>
      <c r="G75" s="75" t="s">
        <v>254</v>
      </c>
      <c r="H75" s="42"/>
      <c r="I75" s="13"/>
      <c r="J75" s="42" t="s">
        <v>150</v>
      </c>
    </row>
    <row r="76" spans="1:10" ht="80.25" customHeight="1" x14ac:dyDescent="0.35">
      <c r="A76" s="9">
        <v>71</v>
      </c>
      <c r="B76" s="8" t="s">
        <v>256</v>
      </c>
      <c r="C76" s="16" t="s">
        <v>257</v>
      </c>
      <c r="D76" s="4" t="s">
        <v>147</v>
      </c>
      <c r="E76" s="35">
        <v>43432</v>
      </c>
      <c r="F76" s="54" t="s">
        <v>258</v>
      </c>
      <c r="G76" s="46" t="s">
        <v>278</v>
      </c>
      <c r="H76" s="13">
        <v>8344.66</v>
      </c>
      <c r="I76" s="13">
        <v>8344.66</v>
      </c>
      <c r="J76" s="1" t="s">
        <v>151</v>
      </c>
    </row>
    <row r="77" spans="1:10" ht="80.25" customHeight="1" x14ac:dyDescent="0.35">
      <c r="A77" s="9">
        <v>72</v>
      </c>
      <c r="B77" s="8" t="s">
        <v>275</v>
      </c>
      <c r="C77" s="16" t="s">
        <v>259</v>
      </c>
      <c r="D77" s="4" t="s">
        <v>260</v>
      </c>
      <c r="E77" s="35">
        <v>43440</v>
      </c>
      <c r="F77" s="54" t="s">
        <v>261</v>
      </c>
      <c r="G77" s="75" t="s">
        <v>262</v>
      </c>
      <c r="H77" s="13">
        <v>5290.56</v>
      </c>
      <c r="I77" s="13">
        <v>5290.56</v>
      </c>
      <c r="J77" s="1" t="s">
        <v>151</v>
      </c>
    </row>
    <row r="78" spans="1:10" ht="80.25" customHeight="1" x14ac:dyDescent="0.35">
      <c r="A78" s="9">
        <v>73</v>
      </c>
      <c r="B78" s="8" t="s">
        <v>222</v>
      </c>
      <c r="C78" s="16" t="s">
        <v>179</v>
      </c>
      <c r="D78" s="4" t="s">
        <v>263</v>
      </c>
      <c r="E78" s="12">
        <v>43480</v>
      </c>
      <c r="F78" s="12" t="s">
        <v>280</v>
      </c>
      <c r="G78" s="46">
        <v>20000</v>
      </c>
      <c r="H78" s="67">
        <v>10000</v>
      </c>
      <c r="I78" s="13">
        <v>10000</v>
      </c>
      <c r="J78" s="42" t="s">
        <v>150</v>
      </c>
    </row>
    <row r="79" spans="1:10" ht="80.25" customHeight="1" x14ac:dyDescent="0.35">
      <c r="A79" s="9">
        <v>74</v>
      </c>
      <c r="B79" s="8" t="s">
        <v>222</v>
      </c>
      <c r="C79" s="16" t="s">
        <v>179</v>
      </c>
      <c r="D79" s="4" t="s">
        <v>276</v>
      </c>
      <c r="E79" s="12">
        <v>43505</v>
      </c>
      <c r="F79" s="12" t="s">
        <v>281</v>
      </c>
      <c r="G79" s="46">
        <v>20000</v>
      </c>
      <c r="H79" s="42"/>
      <c r="I79" s="13"/>
      <c r="J79" s="42" t="s">
        <v>150</v>
      </c>
    </row>
    <row r="80" spans="1:10" ht="232" x14ac:dyDescent="0.35">
      <c r="A80" s="9">
        <v>75</v>
      </c>
      <c r="B80" s="8" t="s">
        <v>10</v>
      </c>
      <c r="C80" s="15">
        <v>3049560166</v>
      </c>
      <c r="D80" s="5" t="s">
        <v>265</v>
      </c>
      <c r="E80" s="3">
        <v>43454</v>
      </c>
      <c r="F80" s="4" t="s">
        <v>264</v>
      </c>
      <c r="G80" s="5" t="s">
        <v>266</v>
      </c>
      <c r="H80" s="42">
        <v>16200</v>
      </c>
      <c r="I80" s="13">
        <v>16200</v>
      </c>
      <c r="J80" s="42" t="s">
        <v>150</v>
      </c>
    </row>
    <row r="81" spans="1:10" ht="80.25" customHeight="1" x14ac:dyDescent="0.35">
      <c r="A81" s="9">
        <v>76</v>
      </c>
      <c r="B81" s="8" t="s">
        <v>267</v>
      </c>
      <c r="C81" s="15" t="s">
        <v>268</v>
      </c>
      <c r="D81" s="5" t="s">
        <v>269</v>
      </c>
      <c r="E81" s="3">
        <v>43502</v>
      </c>
      <c r="F81" s="4" t="s">
        <v>270</v>
      </c>
      <c r="G81" s="5">
        <v>937.5</v>
      </c>
      <c r="H81" s="13">
        <v>750</v>
      </c>
      <c r="I81" s="13">
        <v>750</v>
      </c>
      <c r="J81" s="1" t="s">
        <v>151</v>
      </c>
    </row>
    <row r="82" spans="1:10" ht="80.25" customHeight="1" x14ac:dyDescent="0.35">
      <c r="A82" s="9">
        <v>77</v>
      </c>
      <c r="B82" s="8" t="s">
        <v>271</v>
      </c>
      <c r="C82" s="15">
        <v>12735620150</v>
      </c>
      <c r="D82" s="5" t="s">
        <v>272</v>
      </c>
      <c r="E82" s="3">
        <v>43522</v>
      </c>
      <c r="F82" s="4" t="s">
        <v>273</v>
      </c>
      <c r="G82" s="5" t="s">
        <v>274</v>
      </c>
      <c r="H82" s="13">
        <v>2312.84</v>
      </c>
      <c r="I82" s="13">
        <v>2312.84</v>
      </c>
      <c r="J82" s="1" t="s">
        <v>150</v>
      </c>
    </row>
    <row r="83" spans="1:10" ht="80.25" customHeight="1" x14ac:dyDescent="0.35">
      <c r="A83" s="9">
        <v>78</v>
      </c>
      <c r="B83" s="8" t="s">
        <v>182</v>
      </c>
      <c r="C83" s="16">
        <v>7931520964</v>
      </c>
      <c r="D83" s="4" t="s">
        <v>183</v>
      </c>
      <c r="E83" s="12" t="s">
        <v>282</v>
      </c>
      <c r="F83" s="12" t="s">
        <v>283</v>
      </c>
      <c r="G83" s="47" t="s">
        <v>185</v>
      </c>
      <c r="H83" s="67"/>
      <c r="I83" s="13"/>
      <c r="J83" s="1" t="s">
        <v>150</v>
      </c>
    </row>
    <row r="84" spans="1:10" ht="80.25" customHeight="1" x14ac:dyDescent="0.35">
      <c r="A84" s="9">
        <v>79</v>
      </c>
      <c r="B84" s="8" t="s">
        <v>284</v>
      </c>
      <c r="C84" s="15" t="s">
        <v>285</v>
      </c>
      <c r="D84" s="5" t="s">
        <v>286</v>
      </c>
      <c r="E84" s="3">
        <v>43571</v>
      </c>
      <c r="F84" s="4" t="s">
        <v>287</v>
      </c>
      <c r="G84" s="5" t="s">
        <v>288</v>
      </c>
      <c r="H84" s="67"/>
      <c r="I84" s="13"/>
      <c r="J84" s="42" t="s">
        <v>289</v>
      </c>
    </row>
    <row r="85" spans="1:10" ht="80.25" customHeight="1" x14ac:dyDescent="0.35">
      <c r="A85" s="9">
        <v>80</v>
      </c>
      <c r="B85" s="8" t="s">
        <v>290</v>
      </c>
      <c r="C85" s="15" t="s">
        <v>291</v>
      </c>
      <c r="D85" s="5" t="s">
        <v>286</v>
      </c>
      <c r="E85" s="3">
        <v>43571</v>
      </c>
      <c r="F85" s="4" t="s">
        <v>287</v>
      </c>
      <c r="G85" s="5" t="s">
        <v>288</v>
      </c>
      <c r="H85" s="67"/>
      <c r="I85" s="13"/>
      <c r="J85" s="42" t="s">
        <v>289</v>
      </c>
    </row>
  </sheetData>
  <autoFilter ref="B5:J83" xr:uid="{0AAD3E39-A2E9-4ADE-835C-EDB621644103}"/>
  <pageMargins left="0.7" right="0.7" top="0.75" bottom="0.75" header="0.3" footer="0.3"/>
  <pageSetup paperSize="9" scale="43" fitToHeight="0" orientation="landscape" r:id="rId1"/>
  <ignoredErrors>
    <ignoredError sqref="G15:G16 G20 C32:C34 G34:G35 G31 C54:C58 C50:C51 C46 C40:C44 C38:C39 C45 C47:C49 C52:C53 C59 C61 C36 C66:C68 C70:C71 G73 C76:C7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80899-02F7-46BD-9683-94657A05B4A3}">
  <sheetPr>
    <pageSetUpPr fitToPage="1"/>
  </sheetPr>
  <dimension ref="B1:J6"/>
  <sheetViews>
    <sheetView showGridLines="0" zoomScale="90" zoomScaleNormal="90" workbookViewId="0">
      <pane ySplit="5" topLeftCell="A6" activePane="bottomLeft" state="frozen"/>
      <selection pane="bottomLeft" activeCell="I6" sqref="I6"/>
    </sheetView>
  </sheetViews>
  <sheetFormatPr defaultColWidth="20.7265625" defaultRowHeight="80.25" customHeight="1" x14ac:dyDescent="0.35"/>
  <cols>
    <col min="1" max="1" width="2.1796875" customWidth="1"/>
    <col min="2" max="3" width="25.7265625" customWidth="1"/>
    <col min="4" max="4" width="55.81640625" style="10" customWidth="1"/>
    <col min="5" max="5" width="25.7265625" style="9" customWidth="1"/>
    <col min="6" max="6" width="30.7265625" style="9" customWidth="1"/>
    <col min="7" max="7" width="40.7265625" style="29" customWidth="1"/>
    <col min="8" max="8" width="30.7265625" style="21" customWidth="1"/>
    <col min="9" max="9" width="30.7265625" customWidth="1"/>
  </cols>
  <sheetData>
    <row r="1" spans="2:10" ht="14.5" x14ac:dyDescent="0.35"/>
    <row r="2" spans="2:10" ht="14.5" x14ac:dyDescent="0.35"/>
    <row r="3" spans="2:10" ht="14.5" x14ac:dyDescent="0.35">
      <c r="C3" s="17"/>
      <c r="D3" s="17" t="s">
        <v>292</v>
      </c>
    </row>
    <row r="4" spans="2:10" ht="14.5" x14ac:dyDescent="0.35"/>
    <row r="5" spans="2:10" ht="80.25" customHeight="1" x14ac:dyDescent="0.35">
      <c r="B5" s="6" t="s">
        <v>0</v>
      </c>
      <c r="C5" s="6" t="s">
        <v>84</v>
      </c>
      <c r="D5" s="6" t="s">
        <v>1</v>
      </c>
      <c r="E5" s="6" t="s">
        <v>2</v>
      </c>
      <c r="F5" s="6" t="s">
        <v>26</v>
      </c>
      <c r="G5" s="30" t="s">
        <v>87</v>
      </c>
      <c r="H5" s="22" t="s">
        <v>293</v>
      </c>
      <c r="I5" s="22" t="s">
        <v>294</v>
      </c>
      <c r="J5" s="41" t="s">
        <v>153</v>
      </c>
    </row>
    <row r="6" spans="2:10" ht="80.25" customHeight="1" x14ac:dyDescent="0.35">
      <c r="B6" s="8" t="s">
        <v>161</v>
      </c>
      <c r="C6" s="16" t="s">
        <v>162</v>
      </c>
      <c r="D6" s="4" t="s">
        <v>163</v>
      </c>
      <c r="E6" s="39">
        <v>43067</v>
      </c>
      <c r="F6" s="3" t="s">
        <v>164</v>
      </c>
      <c r="G6" s="43" t="s">
        <v>165</v>
      </c>
      <c r="H6" s="68"/>
      <c r="I6" s="68">
        <v>380975.41</v>
      </c>
      <c r="J6" s="42" t="s">
        <v>150</v>
      </c>
    </row>
  </sheetData>
  <autoFilter ref="B5:J6" xr:uid="{0AAD3E39-A2E9-4ADE-835C-EDB621644103}"/>
  <pageMargins left="0.7" right="0.7" top="0.75" bottom="0.75" header="0.3" footer="0.3"/>
  <pageSetup paperSize="9" scale="45" fitToHeight="0" orientation="landscape" r:id="rId1"/>
  <ignoredErrors>
    <ignoredError sqref="C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Riepilogo Contratti Passivi</vt:lpstr>
      <vt:lpstr>Riepilogo Contratti Attivi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Federica Caimi</dc:creator>
  <cp:lastModifiedBy>Francesco Rapisarda</cp:lastModifiedBy>
  <cp:lastPrinted>2019-08-07T11:26:30Z</cp:lastPrinted>
  <dcterms:created xsi:type="dcterms:W3CDTF">2016-10-17T11:15:36Z</dcterms:created>
  <dcterms:modified xsi:type="dcterms:W3CDTF">2019-08-07T11:27:31Z</dcterms:modified>
</cp:coreProperties>
</file>